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36" windowWidth="8028" windowHeight="8400" tabRatio="803"/>
  </bookViews>
  <sheets>
    <sheet name="Info" sheetId="20" r:id="rId1"/>
    <sheet name="Ökorichlinien" sheetId="30" state="hidden" r:id="rId2"/>
    <sheet name="Förderung" sheetId="29" r:id="rId3"/>
    <sheet name=" ÖKOZS-Aufzf..-Mast" sheetId="1" r:id="rId4"/>
    <sheet name="Grafiken" sheetId="31" r:id="rId5"/>
    <sheet name="Vergl. Aufz.-Mast" sheetId="18" r:id="rId6"/>
    <sheet name="Tabelle1" sheetId="32" r:id="rId7"/>
    <sheet name="Kostenstruktur-kurz" sheetId="33" state="hidden" r:id="rId8"/>
  </sheets>
  <definedNames>
    <definedName name="_xlnm.Print_Area" localSheetId="3">' ÖKOZS-Aufzf..-Mast'!$B$2:$I$138</definedName>
    <definedName name="_xlnm.Print_Area" localSheetId="2">Förderung!$A$2:$D$87</definedName>
    <definedName name="_xlnm.Print_Area" localSheetId="4">Grafiken!$B$3:$L$125</definedName>
    <definedName name="_xlnm.Print_Area" localSheetId="0">Info!$B$2:$H$38</definedName>
    <definedName name="_xlnm.Print_Area" localSheetId="5">'Vergl. Aufz.-Mast'!$B$2:$G$83</definedName>
    <definedName name="_xlnm.Print_Titles" localSheetId="2">Förderung!$2:$2</definedName>
  </definedNames>
  <calcPr calcId="145621"/>
</workbook>
</file>

<file path=xl/calcChain.xml><?xml version="1.0" encoding="utf-8"?>
<calcChain xmlns="http://schemas.openxmlformats.org/spreadsheetml/2006/main">
  <c r="H91" i="1" l="1"/>
  <c r="I14" i="1" l="1"/>
  <c r="H15" i="1"/>
  <c r="H14" i="1"/>
  <c r="L3" i="31" l="1"/>
  <c r="H3" i="20"/>
  <c r="I74" i="1"/>
  <c r="G74" i="1"/>
  <c r="F59" i="1"/>
  <c r="F15" i="18" l="1"/>
  <c r="G33" i="31"/>
  <c r="H20" i="1" l="1"/>
  <c r="G48" i="1" l="1"/>
  <c r="J33" i="1"/>
  <c r="D61" i="1" l="1"/>
  <c r="C106" i="1" l="1"/>
  <c r="F142" i="1" l="1"/>
  <c r="D93" i="1"/>
  <c r="F118" i="1" s="1"/>
  <c r="H118" i="1" l="1"/>
  <c r="G118" i="1"/>
  <c r="D33" i="1"/>
  <c r="F48" i="1" l="1"/>
  <c r="H21" i="1"/>
  <c r="G26" i="1"/>
  <c r="H48" i="1" l="1"/>
  <c r="D106" i="1"/>
  <c r="D38" i="1" l="1"/>
  <c r="G30" i="1"/>
  <c r="G42" i="1"/>
  <c r="H89" i="1" l="1"/>
  <c r="H23" i="1"/>
  <c r="F46" i="1" s="1"/>
  <c r="G46" i="1" s="1"/>
  <c r="H82" i="1"/>
  <c r="G59" i="1"/>
  <c r="H157" i="1"/>
  <c r="G157" i="1"/>
  <c r="F157" i="1"/>
  <c r="G128" i="1"/>
  <c r="H128" i="1"/>
  <c r="F128" i="1"/>
  <c r="H112" i="1"/>
  <c r="F112" i="1"/>
  <c r="G112" i="1"/>
  <c r="O112" i="1"/>
  <c r="F49" i="1"/>
  <c r="H59" i="1"/>
  <c r="H76" i="1"/>
  <c r="D15" i="18"/>
  <c r="D13" i="18"/>
  <c r="D10" i="18"/>
  <c r="C7" i="18"/>
  <c r="K96" i="1"/>
  <c r="O95" i="1"/>
  <c r="P97" i="1" s="1"/>
  <c r="N35" i="1"/>
  <c r="K34" i="1"/>
  <c r="O93" i="1"/>
  <c r="P95" i="1" s="1"/>
  <c r="N36" i="1"/>
  <c r="O36" i="1" s="1"/>
  <c r="N50" i="1" s="1"/>
  <c r="O94" i="1"/>
  <c r="P96" i="1" s="1"/>
  <c r="J31" i="1"/>
  <c r="J32" i="1"/>
  <c r="K31" i="1"/>
  <c r="N32" i="1"/>
  <c r="O32" i="1" s="1"/>
  <c r="K32" i="1"/>
  <c r="N30" i="1"/>
  <c r="O30" i="1" s="1"/>
  <c r="N31" i="1"/>
  <c r="O31" i="1" s="1"/>
  <c r="K92" i="1"/>
  <c r="K95" i="1"/>
  <c r="K94" i="1"/>
  <c r="K93" i="1"/>
  <c r="J98" i="1"/>
  <c r="O91" i="1"/>
  <c r="P93" i="1" s="1"/>
  <c r="G100" i="1"/>
  <c r="K33" i="1"/>
  <c r="D107" i="1"/>
  <c r="D41" i="1"/>
  <c r="H85" i="1"/>
  <c r="F115" i="1" s="1"/>
  <c r="E7" i="1"/>
  <c r="K24" i="1"/>
  <c r="K26" i="1"/>
  <c r="N26" i="1"/>
  <c r="O26" i="1" s="1"/>
  <c r="K27" i="1"/>
  <c r="N27" i="1"/>
  <c r="O27" i="1" s="1"/>
  <c r="J26" i="1"/>
  <c r="K28" i="1"/>
  <c r="N28" i="1"/>
  <c r="O28" i="1" s="1"/>
  <c r="J27" i="1"/>
  <c r="K29" i="1"/>
  <c r="N29" i="1"/>
  <c r="O29" i="1" s="1"/>
  <c r="J28" i="1"/>
  <c r="K30" i="1"/>
  <c r="J29" i="1"/>
  <c r="J30" i="1"/>
  <c r="N33" i="1"/>
  <c r="O33" i="1"/>
  <c r="J34" i="1"/>
  <c r="J36" i="1"/>
  <c r="K35" i="1"/>
  <c r="F42" i="1"/>
  <c r="H42" i="1"/>
  <c r="C65" i="1"/>
  <c r="D65" i="1"/>
  <c r="F65" i="1"/>
  <c r="F152" i="1" s="1"/>
  <c r="G65" i="1"/>
  <c r="H65" i="1"/>
  <c r="H152" i="1" s="1"/>
  <c r="D68" i="1"/>
  <c r="F76" i="1"/>
  <c r="E78" i="1"/>
  <c r="H78" i="1"/>
  <c r="I78" i="1"/>
  <c r="H79" i="1"/>
  <c r="D81" i="1"/>
  <c r="F81" i="1"/>
  <c r="H81" i="1"/>
  <c r="D124" i="1" s="1"/>
  <c r="D82" i="1"/>
  <c r="D128" i="1"/>
  <c r="F86" i="1"/>
  <c r="H86" i="1"/>
  <c r="D131" i="1" s="1"/>
  <c r="H87" i="1"/>
  <c r="K90" i="1"/>
  <c r="O90" i="1"/>
  <c r="P90" i="1" s="1"/>
  <c r="K91" i="1"/>
  <c r="J95" i="1"/>
  <c r="J96" i="1"/>
  <c r="J97" i="1"/>
  <c r="J99" i="1"/>
  <c r="J100" i="1"/>
  <c r="J102" i="1"/>
  <c r="K107" i="1"/>
  <c r="C108" i="1"/>
  <c r="D108" i="1"/>
  <c r="K108" i="1"/>
  <c r="B126" i="1"/>
  <c r="C128" i="1"/>
  <c r="H164" i="1"/>
  <c r="G142" i="1"/>
  <c r="H142" i="1"/>
  <c r="C5" i="18"/>
  <c r="E7" i="18"/>
  <c r="G7" i="18"/>
  <c r="F10" i="18"/>
  <c r="F13" i="18"/>
  <c r="O35" i="1"/>
  <c r="F164" i="1"/>
  <c r="O92" i="1"/>
  <c r="P94" i="1" s="1"/>
  <c r="D11" i="18"/>
  <c r="G164" i="1"/>
  <c r="E79" i="1"/>
  <c r="G2" i="18"/>
  <c r="G152" i="1"/>
  <c r="F12" i="18" l="1"/>
  <c r="H33" i="1"/>
  <c r="F113" i="1"/>
  <c r="C107" i="1"/>
  <c r="C41" i="1"/>
  <c r="H31" i="1"/>
  <c r="E11" i="1"/>
  <c r="J11" i="1" s="1"/>
  <c r="H27" i="1"/>
  <c r="I79" i="1"/>
  <c r="H99" i="1" s="1"/>
  <c r="H26" i="1"/>
  <c r="H35" i="1"/>
  <c r="G62" i="1" s="1"/>
  <c r="F62" i="1" s="1"/>
  <c r="H30" i="1"/>
  <c r="B107" i="1"/>
  <c r="H29" i="1"/>
  <c r="H46" i="1"/>
  <c r="H28" i="1"/>
  <c r="D12" i="18"/>
  <c r="H32" i="1"/>
  <c r="E9" i="1"/>
  <c r="J9" i="1" s="1"/>
  <c r="E10" i="1"/>
  <c r="J10" i="1" s="1"/>
  <c r="D98" i="1" s="1"/>
  <c r="H49" i="1"/>
  <c r="H53" i="1"/>
  <c r="B41" i="1"/>
  <c r="H97" i="1"/>
  <c r="H95" i="1"/>
  <c r="F11" i="18"/>
  <c r="H115" i="1"/>
  <c r="H113" i="1" s="1"/>
  <c r="G115" i="1"/>
  <c r="G49" i="1"/>
  <c r="G53" i="1" l="1"/>
  <c r="N24" i="1" s="1"/>
  <c r="O24" i="1" s="1"/>
  <c r="G50" i="1"/>
  <c r="I50" i="1"/>
  <c r="F50" i="1"/>
  <c r="H50" i="1"/>
  <c r="N46" i="1"/>
  <c r="D37" i="1"/>
  <c r="H62" i="1"/>
  <c r="H101" i="1"/>
  <c r="G125" i="1" s="1"/>
  <c r="F52" i="1"/>
  <c r="G52" i="1"/>
  <c r="H52" i="1"/>
  <c r="H51" i="1"/>
  <c r="F51" i="1"/>
  <c r="G51" i="1"/>
  <c r="D35" i="1"/>
  <c r="J82" i="1"/>
  <c r="F116" i="1" s="1"/>
  <c r="F53" i="1"/>
  <c r="H96" i="1"/>
  <c r="H94" i="1"/>
  <c r="H98" i="1"/>
  <c r="F43" i="1"/>
  <c r="F44" i="1" s="1"/>
  <c r="G43" i="1"/>
  <c r="G44" i="1" s="1"/>
  <c r="H43" i="1"/>
  <c r="H44" i="1" s="1"/>
  <c r="F45" i="1"/>
  <c r="J81" i="1"/>
  <c r="G108" i="1" s="1"/>
  <c r="O98" i="1"/>
  <c r="P100" i="1" s="1"/>
  <c r="P112" i="1" s="1"/>
  <c r="H125" i="1"/>
  <c r="F14" i="18"/>
  <c r="G124" i="1"/>
  <c r="C124" i="1"/>
  <c r="G61" i="1"/>
  <c r="G113" i="1"/>
  <c r="D96" i="1"/>
  <c r="H90" i="1" s="1"/>
  <c r="F110" i="1" s="1"/>
  <c r="G110" i="1" s="1"/>
  <c r="H110" i="1" s="1"/>
  <c r="O106" i="1" l="1"/>
  <c r="H34" i="1"/>
  <c r="N34" i="1" s="1"/>
  <c r="O34" i="1" s="1"/>
  <c r="N48" i="1" s="1"/>
  <c r="F61" i="1"/>
  <c r="G60" i="1"/>
  <c r="H60" i="1"/>
  <c r="F60" i="1"/>
  <c r="F125" i="1"/>
  <c r="D14" i="18"/>
  <c r="F151" i="1"/>
  <c r="F153" i="1" s="1"/>
  <c r="N25" i="1"/>
  <c r="O25" i="1" s="1"/>
  <c r="H116" i="1"/>
  <c r="G116" i="1"/>
  <c r="O88" i="1" s="1"/>
  <c r="P88" i="1" s="1"/>
  <c r="P110" i="1" s="1"/>
  <c r="I133" i="1"/>
  <c r="I131" i="1"/>
  <c r="H61" i="1"/>
  <c r="H151" i="1" s="1"/>
  <c r="H153" i="1" s="1"/>
  <c r="H45" i="1"/>
  <c r="G45" i="1"/>
  <c r="N41" i="1" s="1"/>
  <c r="O41" i="1" s="1"/>
  <c r="O97" i="1"/>
  <c r="P99" i="1" s="1"/>
  <c r="G109" i="1"/>
  <c r="G111" i="1" s="1"/>
  <c r="H47" i="1"/>
  <c r="F47" i="1"/>
  <c r="G151" i="1"/>
  <c r="G153" i="1" s="1"/>
  <c r="N37" i="1"/>
  <c r="H124" i="1"/>
  <c r="H163" i="1" s="1"/>
  <c r="H165" i="1" s="1"/>
  <c r="G163" i="1"/>
  <c r="G165" i="1" s="1"/>
  <c r="F124" i="1"/>
  <c r="F163" i="1" s="1"/>
  <c r="F165" i="1" s="1"/>
  <c r="H114" i="1"/>
  <c r="H117" i="1" s="1"/>
  <c r="G114" i="1"/>
  <c r="G117" i="1" s="1"/>
  <c r="O89" i="1" s="1"/>
  <c r="F114" i="1"/>
  <c r="F117" i="1" s="1"/>
  <c r="O100" i="1"/>
  <c r="O99" i="1"/>
  <c r="O46" i="1" l="1"/>
  <c r="N47" i="1"/>
  <c r="H24" i="1"/>
  <c r="H54" i="1" s="1"/>
  <c r="H55" i="1" s="1"/>
  <c r="H56" i="1" s="1"/>
  <c r="H100" i="1"/>
  <c r="F108" i="1"/>
  <c r="F109" i="1" s="1"/>
  <c r="F111" i="1" s="1"/>
  <c r="H108" i="1"/>
  <c r="H109" i="1" s="1"/>
  <c r="H111" i="1" s="1"/>
  <c r="G47" i="1"/>
  <c r="O37" i="1"/>
  <c r="N49" i="1" s="1"/>
  <c r="N40" i="1"/>
  <c r="P102" i="1"/>
  <c r="P114" i="1" s="1"/>
  <c r="O50" i="1"/>
  <c r="P101" i="1"/>
  <c r="P113" i="1" s="1"/>
  <c r="O49" i="1"/>
  <c r="G54" i="1" l="1"/>
  <c r="G55" i="1" s="1"/>
  <c r="G68" i="1" s="1"/>
  <c r="G69" i="1" s="1"/>
  <c r="H57" i="1"/>
  <c r="H72" i="1" s="1"/>
  <c r="H145" i="1" s="1"/>
  <c r="F54" i="1"/>
  <c r="F55" i="1" s="1"/>
  <c r="F68" i="1" s="1"/>
  <c r="H68" i="1"/>
  <c r="H69" i="1" s="1"/>
  <c r="O40" i="1"/>
  <c r="N42" i="1"/>
  <c r="O42" i="1" s="1"/>
  <c r="H92" i="1"/>
  <c r="F119" i="1" s="1"/>
  <c r="F120" i="1" s="1"/>
  <c r="O96" i="1"/>
  <c r="O101" i="1" s="1"/>
  <c r="P89" i="1"/>
  <c r="P111" i="1" s="1"/>
  <c r="O47" i="1"/>
  <c r="H63" i="1" l="1"/>
  <c r="H64" i="1" s="1"/>
  <c r="H154" i="1" s="1"/>
  <c r="P38" i="1"/>
  <c r="P24" i="1"/>
  <c r="P25" i="1"/>
  <c r="H67" i="1"/>
  <c r="H155" i="1" s="1"/>
  <c r="F57" i="1"/>
  <c r="F63" i="1" s="1"/>
  <c r="F64" i="1" s="1"/>
  <c r="F154" i="1" s="1"/>
  <c r="H143" i="1"/>
  <c r="H148" i="1" s="1"/>
  <c r="H147" i="1" s="1"/>
  <c r="H58" i="1"/>
  <c r="G57" i="1"/>
  <c r="F56" i="1"/>
  <c r="F69" i="1"/>
  <c r="G56" i="1"/>
  <c r="H66" i="1"/>
  <c r="H71" i="1" s="1"/>
  <c r="H144" i="1" s="1"/>
  <c r="P31" i="1"/>
  <c r="P33" i="1"/>
  <c r="P34" i="1"/>
  <c r="P30" i="1"/>
  <c r="P26" i="1"/>
  <c r="P27" i="1"/>
  <c r="P29" i="1"/>
  <c r="P32" i="1"/>
  <c r="P35" i="1"/>
  <c r="P28" i="1"/>
  <c r="N51" i="1"/>
  <c r="P49" i="1" s="1"/>
  <c r="Q90" i="1"/>
  <c r="Q93" i="1"/>
  <c r="Q95" i="1"/>
  <c r="Q94" i="1"/>
  <c r="Q99" i="1"/>
  <c r="Q97" i="1"/>
  <c r="Q103" i="1"/>
  <c r="O108" i="1"/>
  <c r="P103" i="1"/>
  <c r="Q100" i="1"/>
  <c r="Q96" i="1"/>
  <c r="Q88" i="1"/>
  <c r="Q102" i="1"/>
  <c r="Q101" i="1"/>
  <c r="Q98" i="1"/>
  <c r="P98" i="1"/>
  <c r="P115" i="1" s="1"/>
  <c r="O48" i="1"/>
  <c r="Q89" i="1"/>
  <c r="H119" i="1"/>
  <c r="H120" i="1" s="1"/>
  <c r="G119" i="1"/>
  <c r="G120" i="1" s="1"/>
  <c r="G131" i="1" s="1"/>
  <c r="G72" i="1" l="1"/>
  <c r="G145" i="1" s="1"/>
  <c r="D17" i="18"/>
  <c r="G67" i="1"/>
  <c r="D20" i="18" s="1"/>
  <c r="G143" i="1"/>
  <c r="G148" i="1" s="1"/>
  <c r="G149" i="1" s="1"/>
  <c r="F66" i="1"/>
  <c r="F71" i="1" s="1"/>
  <c r="F144" i="1" s="1"/>
  <c r="F143" i="1"/>
  <c r="F148" i="1" s="1"/>
  <c r="F147" i="1" s="1"/>
  <c r="F67" i="1"/>
  <c r="F155" i="1" s="1"/>
  <c r="F58" i="1"/>
  <c r="F72" i="1"/>
  <c r="F145" i="1" s="1"/>
  <c r="G63" i="1"/>
  <c r="G64" i="1" s="1"/>
  <c r="G58" i="1"/>
  <c r="D16" i="18"/>
  <c r="H149" i="1"/>
  <c r="H133" i="1"/>
  <c r="H131" i="1"/>
  <c r="G121" i="1"/>
  <c r="G133" i="1"/>
  <c r="G66" i="1"/>
  <c r="F131" i="1"/>
  <c r="F133" i="1"/>
  <c r="P47" i="1"/>
  <c r="P51" i="1"/>
  <c r="P50" i="1"/>
  <c r="P48" i="1"/>
  <c r="P46" i="1"/>
  <c r="F121" i="1"/>
  <c r="H121" i="1"/>
  <c r="O51" i="1"/>
  <c r="G155" i="1" l="1"/>
  <c r="G147" i="1"/>
  <c r="F149" i="1"/>
  <c r="F137" i="1"/>
  <c r="D18" i="18"/>
  <c r="F138" i="1"/>
  <c r="F161" i="1" s="1"/>
  <c r="G71" i="1"/>
  <c r="I137" i="1"/>
  <c r="I138" i="1"/>
  <c r="G137" i="1"/>
  <c r="H138" i="1"/>
  <c r="H161" i="1" s="1"/>
  <c r="G134" i="1"/>
  <c r="G138" i="1"/>
  <c r="H137" i="1"/>
  <c r="G135" i="1"/>
  <c r="G122" i="1"/>
  <c r="G126" i="1" s="1"/>
  <c r="G154" i="1"/>
  <c r="D19" i="18"/>
  <c r="G144" i="1"/>
  <c r="Q46" i="1"/>
  <c r="Q51" i="1"/>
  <c r="Q50" i="1"/>
  <c r="Q49" i="1"/>
  <c r="Q47" i="1"/>
  <c r="H135" i="1"/>
  <c r="H160" i="1" s="1"/>
  <c r="H122" i="1"/>
  <c r="Q48" i="1"/>
  <c r="H159" i="1"/>
  <c r="H134" i="1"/>
  <c r="G159" i="1"/>
  <c r="G160" i="1"/>
  <c r="F16" i="18"/>
  <c r="F134" i="1"/>
  <c r="F159" i="1"/>
  <c r="F135" i="1"/>
  <c r="F160" i="1" s="1"/>
  <c r="F122" i="1"/>
  <c r="G129" i="1" l="1"/>
  <c r="G127" i="1"/>
  <c r="G130" i="1"/>
  <c r="G158" i="1"/>
  <c r="G123" i="1"/>
  <c r="F17" i="18"/>
  <c r="F130" i="1"/>
  <c r="F167" i="1" s="1"/>
  <c r="F126" i="1"/>
  <c r="F158" i="1"/>
  <c r="F123" i="1"/>
  <c r="G161" i="1"/>
  <c r="H158" i="1"/>
  <c r="H123" i="1"/>
  <c r="H130" i="1"/>
  <c r="H167" i="1" s="1"/>
  <c r="H126" i="1"/>
  <c r="F127" i="1" l="1"/>
  <c r="F166" i="1" s="1"/>
  <c r="F129" i="1"/>
  <c r="F18" i="18"/>
  <c r="F20" i="18"/>
  <c r="G167" i="1"/>
  <c r="H127" i="1"/>
  <c r="H166" i="1" s="1"/>
  <c r="H129" i="1"/>
  <c r="F19" i="18" l="1"/>
  <c r="G166" i="1"/>
</calcChain>
</file>

<file path=xl/comments1.xml><?xml version="1.0" encoding="utf-8"?>
<comments xmlns="http://schemas.openxmlformats.org/spreadsheetml/2006/main">
  <authors>
    <author>Schabel, Katrin (LEL)</author>
    <author>SeggerV</author>
  </authors>
  <commentList>
    <comment ref="H21" authorId="0">
      <text>
        <r>
          <rPr>
            <sz val="8"/>
            <color indexed="81"/>
            <rFont val="Tahoma"/>
            <family val="2"/>
          </rPr>
          <t xml:space="preserve">2 kg vor+3kg nach dem Absetzen, diese müssen dann aber vom benötigten Ferkelaufzuchtsfutter  abgezogen werden </t>
        </r>
      </text>
    </comment>
    <comment ref="H88" authorId="1">
      <text>
        <r>
          <rPr>
            <sz val="8"/>
            <color indexed="81"/>
            <rFont val="Tahoma"/>
            <family val="2"/>
          </rPr>
          <t xml:space="preserve">
entfällt bei selbst erzeugten Ferkeln (geschlossenem System)</t>
        </r>
      </text>
    </comment>
  </commentList>
</comments>
</file>

<file path=xl/sharedStrings.xml><?xml version="1.0" encoding="utf-8"?>
<sst xmlns="http://schemas.openxmlformats.org/spreadsheetml/2006/main" count="505" uniqueCount="334">
  <si>
    <t>Preise - Stand :</t>
  </si>
  <si>
    <t>Faktor Mwst.</t>
  </si>
  <si>
    <t>%</t>
  </si>
  <si>
    <t>Mwst.satz Zukauffutter, Jungsau</t>
  </si>
  <si>
    <t xml:space="preserve">Lohnansatz / Std. </t>
  </si>
  <si>
    <t>kg</t>
  </si>
  <si>
    <t>Tatsächliches Ferkelgewicht</t>
  </si>
  <si>
    <t>davon</t>
  </si>
  <si>
    <t>Schlachtgewicht Altsau</t>
  </si>
  <si>
    <t>Nutzungsdauer / Sau</t>
  </si>
  <si>
    <t>Jahre</t>
  </si>
  <si>
    <t>Sauenfutter je Sau</t>
  </si>
  <si>
    <t>dt</t>
  </si>
  <si>
    <t>Sauenfutter (o. Mwst.)</t>
  </si>
  <si>
    <t>Gemeinkosten je Sauenplatz</t>
  </si>
  <si>
    <t>Abschreibung Stall und Einrichtung</t>
  </si>
  <si>
    <t>Std.</t>
  </si>
  <si>
    <t>Unterhaltungskosten</t>
  </si>
  <si>
    <t>Anteiliger Altsauenerlös</t>
  </si>
  <si>
    <t>Düngerwert</t>
  </si>
  <si>
    <t>Ferkelfutter / Sau</t>
  </si>
  <si>
    <t>Bestandsergänzung</t>
  </si>
  <si>
    <t>Summe variable Kosten</t>
  </si>
  <si>
    <t>Gemeinkosten</t>
  </si>
  <si>
    <t>Lohnansatz</t>
  </si>
  <si>
    <t>Mwst.satz Zukauffutter, Ferkel</t>
  </si>
  <si>
    <t xml:space="preserve">Schweinemast </t>
  </si>
  <si>
    <t>Schlachtgewicht</t>
  </si>
  <si>
    <t>Ausschlachtung</t>
  </si>
  <si>
    <t>Tägliche Zunahmen</t>
  </si>
  <si>
    <t>g</t>
  </si>
  <si>
    <t>Leertage je Umtrieb</t>
  </si>
  <si>
    <t>Tage</t>
  </si>
  <si>
    <t>Umtriebe / Platz</t>
  </si>
  <si>
    <t>Gemeinkosten je Mastplatz</t>
  </si>
  <si>
    <t>Arbeitsbedarf  / Platz</t>
  </si>
  <si>
    <t>Bruttoerlös / Tier</t>
  </si>
  <si>
    <t>Lebendgewicht / Mastschwein</t>
  </si>
  <si>
    <t>Zuwachs je Mastschwein</t>
  </si>
  <si>
    <t>Futterverbrauch</t>
  </si>
  <si>
    <t>Festkosten / Mastplatz</t>
  </si>
  <si>
    <t>Gemeinkosten / Mastplatz</t>
  </si>
  <si>
    <t>Ferkelgewicht</t>
  </si>
  <si>
    <t>niedrig</t>
  </si>
  <si>
    <t>mittel</t>
  </si>
  <si>
    <t>hoch</t>
  </si>
  <si>
    <t xml:space="preserve"> 1 :</t>
  </si>
  <si>
    <t xml:space="preserve">Erzielter Stundenlohn bei Neubau </t>
  </si>
  <si>
    <t>Mast</t>
  </si>
  <si>
    <t>Futterverwertung</t>
  </si>
  <si>
    <t>Deckungsbeitrag je Platz</t>
  </si>
  <si>
    <t>Akh - Bedarf ( Std. ) / Pl.</t>
  </si>
  <si>
    <t xml:space="preserve"> - Erzeugungskosten je Ferkel bzw. Mastschwein</t>
  </si>
  <si>
    <t>Quelle:  Arbeitsblätter in dieser Datei ( direkt verknüpft ).</t>
  </si>
  <si>
    <t>€/St.</t>
  </si>
  <si>
    <t>€/dt</t>
  </si>
  <si>
    <t>€</t>
  </si>
  <si>
    <t>€/kg</t>
  </si>
  <si>
    <t>Kapitalverzinsung</t>
  </si>
  <si>
    <t>Erzielte Kapitalverzinsung</t>
  </si>
  <si>
    <t>Deckungsbeitrag je Sau</t>
  </si>
  <si>
    <t xml:space="preserve">Deckungsbeitrag  </t>
  </si>
  <si>
    <t xml:space="preserve">je Tier  </t>
  </si>
  <si>
    <t xml:space="preserve">je Mastplatz  </t>
  </si>
  <si>
    <t xml:space="preserve">je Platz   </t>
  </si>
  <si>
    <t>je Std.</t>
  </si>
  <si>
    <t>je Sau</t>
  </si>
  <si>
    <t xml:space="preserve">Kalkulatorisches Betriebszweigergebnis </t>
  </si>
  <si>
    <t>DB in % von Fest-, Gemein- u. Arbeitskosten</t>
  </si>
  <si>
    <t>Deckung von Festkosten und Arbeit</t>
  </si>
  <si>
    <t>€ / Std.</t>
  </si>
  <si>
    <t>Gewichtszuschlag Ferkel (über Basisgewicht)</t>
  </si>
  <si>
    <t>Basisgewicht Ferkel für obigen Preis</t>
  </si>
  <si>
    <t>Deckungsbeitrag je Tier</t>
  </si>
  <si>
    <t xml:space="preserve">Datum: </t>
  </si>
  <si>
    <t>Beispiel</t>
  </si>
  <si>
    <t xml:space="preserve">Zuschlag/Abschlag für Gewicht </t>
  </si>
  <si>
    <t>DB je Mastplatz</t>
  </si>
  <si>
    <t>Notwendiger Schweinepreis beim kostendeckenden Ferkelpreis</t>
  </si>
  <si>
    <t>DB je Zuchtsau</t>
  </si>
  <si>
    <t>Futter</t>
  </si>
  <si>
    <t>Ferkel</t>
  </si>
  <si>
    <t>Stall</t>
  </si>
  <si>
    <t>Arbeit</t>
  </si>
  <si>
    <t>Summe Kosten</t>
  </si>
  <si>
    <t>Nebenleistungen</t>
  </si>
  <si>
    <t>Vermarktung</t>
  </si>
  <si>
    <t>Summe</t>
  </si>
  <si>
    <t>notw. Erlös</t>
  </si>
  <si>
    <t>je Ferkel</t>
  </si>
  <si>
    <t>sonst. var. Kosten</t>
  </si>
  <si>
    <t>Stall u. Gemeinkosten</t>
  </si>
  <si>
    <t>Ferkelerzeugung</t>
  </si>
  <si>
    <t>notw. Ferkelnotierung (25 kg) zur Deckung der Vollkosten</t>
  </si>
  <si>
    <t>notw. Ferkelnotierung (25 kg) zur Deckung der variablen Kosten</t>
  </si>
  <si>
    <t>Arbeitseinkommen</t>
  </si>
  <si>
    <t>Erforderlicher Schweinepreis zur Deckung der Vollkosten beim aktuellen Ferkelpreis</t>
  </si>
  <si>
    <t>Erforderlicher Schweinepreis zur Deckung der variablen Kosten beim aktuellen Ferkelpreis</t>
  </si>
  <si>
    <t>netto</t>
  </si>
  <si>
    <t>aktueller DB</t>
  </si>
  <si>
    <t>Mengenzuschlag</t>
  </si>
  <si>
    <t>Mengenabschlag</t>
  </si>
  <si>
    <t>Kosten Arbeit</t>
  </si>
  <si>
    <t>Kosten Stall und Gemeinkosten</t>
  </si>
  <si>
    <t>Kosten Stall und Gemeinkosten einschl. Arbeitskosten</t>
  </si>
  <si>
    <t>Arbeitseinkommen je Std.</t>
  </si>
  <si>
    <t xml:space="preserve">Verkaufte Ferkel je Sau und Jahr </t>
  </si>
  <si>
    <t xml:space="preserve"> bei diesem Preis ist das kalkulatorische Betriebzweigergebnis Null</t>
  </si>
  <si>
    <t xml:space="preserve"> bei diesem Preis ist der Deckungsbeitrag Null</t>
  </si>
  <si>
    <r>
      <t xml:space="preserve">Erzeugungskosten je Ferkel
</t>
    </r>
    <r>
      <rPr>
        <sz val="12"/>
        <color indexed="8"/>
        <rFont val="Arial"/>
        <family val="2"/>
      </rPr>
      <t xml:space="preserve">(abz. Nebenleistungen)
 </t>
    </r>
    <r>
      <rPr>
        <b/>
        <sz val="14"/>
        <color indexed="8"/>
        <rFont val="Arial"/>
        <family val="2"/>
      </rPr>
      <t>= notwendiger Ferkelerlös</t>
    </r>
  </si>
  <si>
    <t>Zu-/Abschläge wg. Qualität u. Maskenschlupf</t>
  </si>
  <si>
    <r>
      <t xml:space="preserve">Gesamte Erzeugungskosten beim </t>
    </r>
    <r>
      <rPr>
        <b/>
        <sz val="14"/>
        <color indexed="10"/>
        <rFont val="Arial"/>
        <family val="2"/>
      </rPr>
      <t>kosten-</t>
    </r>
  </si>
  <si>
    <t>entsprechender Basispreis je kg SG (netto)</t>
  </si>
  <si>
    <t>Zuschuss bei Investitionsförderung</t>
  </si>
  <si>
    <t>Mwst. Regelsatz</t>
  </si>
  <si>
    <t xml:space="preserve">nein </t>
  </si>
  <si>
    <t xml:space="preserve">Berücksichtigung einer Investitionsförderung ?         </t>
  </si>
  <si>
    <t xml:space="preserve">ja </t>
  </si>
  <si>
    <t xml:space="preserve">je Sau </t>
  </si>
  <si>
    <t xml:space="preserve">je Ferkel </t>
  </si>
  <si>
    <t xml:space="preserve">Name: </t>
  </si>
  <si>
    <t xml:space="preserve">  Preise : </t>
  </si>
  <si>
    <t xml:space="preserve">Pauschalierung </t>
  </si>
  <si>
    <t xml:space="preserve">Regelbesteuerung </t>
  </si>
  <si>
    <t>x</t>
  </si>
  <si>
    <t xml:space="preserve">     Bezügl. der Mwst. wird gerechnet werden nach</t>
  </si>
  <si>
    <t>Erlös je Ferkel</t>
  </si>
  <si>
    <t>Ferkelerlöse je Sau</t>
  </si>
  <si>
    <t>Ergebnis bei:</t>
  </si>
  <si>
    <t>Zinssatz für gebundenes Gebäudekapital ( i )</t>
  </si>
  <si>
    <t>Arbeitsbedarf  / Sau</t>
  </si>
  <si>
    <t>Eingabe in Zeile 6</t>
  </si>
  <si>
    <t>Eingabe in Zeile 7</t>
  </si>
  <si>
    <t xml:space="preserve">                            Berücksichtigung einer Investitionsförderung ?   </t>
  </si>
  <si>
    <t>Zuschläge Ferkel ( z.B. Menge, Genetik, Impfungen)</t>
  </si>
  <si>
    <t>Erlös / Tier nach Abzug der Vermarktungskosten</t>
  </si>
  <si>
    <t>Erstattung Impfungen</t>
  </si>
  <si>
    <t>Quelle:</t>
  </si>
  <si>
    <t>N</t>
  </si>
  <si>
    <t>Nährstoffpreise</t>
  </si>
  <si>
    <t>Sau+Ferkel</t>
  </si>
  <si>
    <t>Düngerwert siehe oben</t>
  </si>
  <si>
    <t>Kosten (inkl. Mwst.):</t>
  </si>
  <si>
    <t>€/Tier</t>
  </si>
  <si>
    <t>Inhaltsverzeichnis</t>
  </si>
  <si>
    <t>Zum Programm</t>
  </si>
  <si>
    <t>A. Grundlagen</t>
  </si>
  <si>
    <t>Berechnung und Ergebnisstabellen für Zuchtsau und Mast</t>
  </si>
  <si>
    <t>B.Berechnung, Ergebnisse und Grafiken</t>
  </si>
  <si>
    <t>Zuchtsau und Mast</t>
  </si>
  <si>
    <t>Vergl. Aufz.-Mast</t>
  </si>
  <si>
    <t>Grafiken</t>
  </si>
  <si>
    <t>Kurztabelle und Grafiken zum Vergleich Aufzucht und Mast</t>
  </si>
  <si>
    <t>gelbe Felder sind Eingabefelder !</t>
  </si>
  <si>
    <t xml:space="preserve">       Bezügl. der Mwst. soll gerechnet werden:</t>
  </si>
  <si>
    <t>Wertansätze für Wirtschaftsdünger (sollten individuell angepasst werden)</t>
  </si>
  <si>
    <r>
      <t xml:space="preserve">Nährstoffgehalt </t>
    </r>
    <r>
      <rPr>
        <b/>
        <u/>
        <sz val="11"/>
        <rFont val="Arial"/>
        <family val="2"/>
      </rPr>
      <t>Wirtschaftsdünger</t>
    </r>
  </si>
  <si>
    <t xml:space="preserve"> Zuchtsau mit Aufzuchtferkeln </t>
  </si>
  <si>
    <t>Neubaukosten je Platz (inkl. Förderung)</t>
  </si>
  <si>
    <t>Ferkelaufzuchtfutter (o. Mwst.)</t>
  </si>
  <si>
    <t>Anforderungen zur Förderung über AFP und FAKT</t>
  </si>
  <si>
    <t>Förderung</t>
  </si>
  <si>
    <t>Grundlagen der ökologischen Schweinehaltung</t>
  </si>
  <si>
    <t>Haltung</t>
  </si>
  <si>
    <t>Nach den EU-Rechtsvorschriften für den ökologischen Landbau ist für Ferkel eine Mindestsäugezeit von 40 Tagen vorgeschrieben. Dies führt im Vergleich zur konventionellen Haltung zu einer höheren Anzahl (35 bis 40 Prozent der produktiven Sauen) notwendiger Abferkelbuchten gegenüber der konventionell üblichen Säugezeit von 21 bis 28 Tagen. Um diese zusätzlichen Kosten zu reduzieren, wird häufig das Gruppensäugeverfahren angewendet. Nach zehn bis 14 Tagen werden mehrere Sauen mit ihren Ferkeln in einer Gruppe zusammengefasst. Die Ferkel erhalten eine nur für sie zugängliche Ferkelbucht. </t>
  </si>
  <si>
    <t>Fütterung</t>
  </si>
  <si>
    <t>Das Futter muss aus ökologischer Erzeugung stammen. Ein Zukauf konventioneller, gentechnikfreier Eiweißfutterkomponenten entsprechend der EU-Rechtsvorschriften für den ökologischen Landbau ist bis zum 31.12.2017 erlaubt. Diese Komponenten dürfen mit einem Anteil von maximal 5 Prozent beigemischt werden.  </t>
  </si>
  <si>
    <t>Tierzukauf</t>
  </si>
  <si>
    <t>Seit dem 25. August 2003 müssen ökologische Mastschweine vor der Inverkehrbringung über einen Zeitraum von mindestens 180 Tagen (sechs Monate) ökologisch gehalten und gefüttert werden, so dass in der Praxis nur noch Ferkel von ökologischen Sauenhaltern für die Mast in Frage kommen. Da eine Versorgung mit Ökoferkeln nicht immer vollständig gewährleistet ist, muss sich der Mäster frühzeitig um geeignete Ferkel bemühen bzw. langfristige Lieferbeziehungen aufbauen. </t>
  </si>
  <si>
    <t>Der Zukauf konventioneller, weiblicher Jungtiere zur Zucht (zum Beispiel Jungsauen, Zuchtläufer) ist erlaubt, sofern die Tiere nach dem Absetzen gemäß den Vorschriften der Verordnung gehalten werden. Der alljährliche Anteil zugekaufter, weiblicher Zuchttiere darf 20 Prozent des Sauenbestandes nicht überschreiten. Bei Rassenumstellung, Bestandsvergrößerung und Bestandserneuerung können nach Genehmigung der Kontrollstelle die Prozentsätze bis auf 40 Prozent angehoben werden. Ein Zukauf konventioneller Zuchteber ist erlaubt, da bei Zuchtschweinen das Angebot an ökologisch erzeugten Tieren noch gering ist.</t>
  </si>
  <si>
    <t>Tiergesundheit</t>
  </si>
  <si>
    <t>Ein präventiver Einsatz chemisch-synthetischer (allopathischer) Arzneimittel (zum Beispiel Antibiotika) ist nicht erlaubt. Fütterungsantibiotika sowie Leistungs- und Wachstumsförderer dürfen nicht eingesetzt werden. Der Einsatz von Antiparasitika und von Impfstoffen ist erlaubt</t>
  </si>
  <si>
    <t>Die Reinigung und Desinfektion ist nur mit den laut EU-Rechtsvorschriften für den ökologischen Landbau zugelassenen Mitteln erlaubt.</t>
  </si>
  <si>
    <t>Maximal 50 Prozent der Bodenfläche dürfen mit Spaltenboden versehen sein. Eine trockene, eingestreute Liegefläche muß vorhanden sein. Leere und niedertragende Sauen sind in Gruppen zu halten. Die Haltung von Ferkeln in Ferkelkäfigen oder Flatdecks sowie das systematische Abkneifen der Zähne und Kupieren der Schwänze sind nicht zulässig.</t>
  </si>
  <si>
    <t>Prämien FAKT und Initiative Tierwohl</t>
  </si>
  <si>
    <t>Anforderungen nach den EU-Ökorichtlinien</t>
  </si>
  <si>
    <t>Kosten Mastplatz Wucherpfennig  top agrar 1/2016 1000€</t>
  </si>
  <si>
    <t>Quelle: Text-www.oekolandbau.de/erzeuger/umstellung/oeko-was-ist-anders/schweinehaltung/  (Aufruf 18.1.2016)</t>
  </si>
  <si>
    <t xml:space="preserve">    Tierarzt, Medikamente</t>
  </si>
  <si>
    <t xml:space="preserve">    Verluste, Versicherungen</t>
  </si>
  <si>
    <t xml:space="preserve">    Energie, Wasser</t>
  </si>
  <si>
    <t xml:space="preserve">    Einstreu</t>
  </si>
  <si>
    <t xml:space="preserve">    Beratung, Kontrolle</t>
  </si>
  <si>
    <t xml:space="preserve">    Besamung</t>
  </si>
  <si>
    <t xml:space="preserve">    Sonstiges Material</t>
  </si>
  <si>
    <t>Akh, Wucherpfennig 30h / Sau, Faustzahlen Ökolandb. S.540 23 Akh/ Sau und Jahr bei 130 Sauen (von 25-35 Akh)</t>
  </si>
  <si>
    <r>
      <t xml:space="preserve">               </t>
    </r>
    <r>
      <rPr>
        <b/>
        <sz val="22"/>
        <rFont val="Arial"/>
        <family val="2"/>
      </rPr>
      <t>VOKO ÖKO-Zuchtsau</t>
    </r>
  </si>
  <si>
    <r>
      <t xml:space="preserve">In der </t>
    </r>
    <r>
      <rPr>
        <b/>
        <sz val="16"/>
        <rFont val="Arial"/>
        <family val="2"/>
      </rPr>
      <t>Berechnung</t>
    </r>
    <r>
      <rPr>
        <sz val="16"/>
        <rFont val="Arial"/>
        <family val="2"/>
      </rPr>
      <t xml:space="preserve"> können in allen gelben Feldern Grundannahmen individuell angepasst werden. Das sind u.a.</t>
    </r>
  </si>
  <si>
    <t xml:space="preserve"> - Gewinn je AKh: entspricht dem erzielten Stundenlohn (DB abzgl. Fest- und Gemeinkosten, div. durch AKh) </t>
  </si>
  <si>
    <t xml:space="preserve"> - Deckungsbeitrag je Tier und Platz: davon sind Festkosten Stall, Gemeinkosten und Arbeitskosten abzudecken</t>
  </si>
  <si>
    <t xml:space="preserve">Abgebildet werden die Kalkulationen zur ökologischen Zuchtsau mit Ferkelaufzucht sowie zur Schweinemast. </t>
  </si>
  <si>
    <r>
      <t xml:space="preserve">               </t>
    </r>
    <r>
      <rPr>
        <b/>
        <sz val="22"/>
        <rFont val="Arial"/>
        <family val="2"/>
      </rPr>
      <t>VOKO ÖKO-SAU   Richtlinien</t>
    </r>
  </si>
  <si>
    <r>
      <t xml:space="preserve">               </t>
    </r>
    <r>
      <rPr>
        <b/>
        <sz val="22"/>
        <rFont val="Arial"/>
        <family val="2"/>
      </rPr>
      <t>VOKO ÖKO-SAU    Förderung</t>
    </r>
  </si>
  <si>
    <t>Tabelle 1: Mindeststall- und Mindestfreiflächen (m²/Tier) für Schweine-Anhang III VO (EG)889/2008</t>
  </si>
  <si>
    <t>benötigte Aufzuchtplätze je Sau</t>
  </si>
  <si>
    <t>Pl.</t>
  </si>
  <si>
    <t>Nutzungsdauer Stall u. Einrichtung</t>
  </si>
  <si>
    <t>Unterhaltungskosten Stall</t>
  </si>
  <si>
    <t>Umtriebe je Aufzuchtplatz</t>
  </si>
  <si>
    <t>Neubaukosten je Sauenplatz (netto)</t>
  </si>
  <si>
    <r>
      <t>Neubaukosten je Aufzuchtplatz (netto)</t>
    </r>
    <r>
      <rPr>
        <sz val="8"/>
        <rFont val="Arial"/>
        <family val="2"/>
      </rPr>
      <t xml:space="preserve"> </t>
    </r>
  </si>
  <si>
    <t>FAKT: Premiumstufe</t>
  </si>
  <si>
    <t>Neubaukosten je Mastpl. (netto)</t>
  </si>
  <si>
    <t>Umtriebe Aufzuchtsplatz KTBL Öko 2010 S. 621 bei 12 kg Einstallungsgewicht, 40 Tagen Ferkelaufzucht und 8 Leertagen 7,6 Umtriebe je Jahr</t>
  </si>
  <si>
    <t>Preis: BW agrar, S.64 Ausg.7-2015 3,45, Quelle ?? aktueller Edekapreis 3,75</t>
  </si>
  <si>
    <t>KTBL Betriebsplanung Lw 2014/15 S. 704</t>
  </si>
  <si>
    <r>
      <t>P</t>
    </r>
    <r>
      <rPr>
        <vertAlign val="subscript"/>
        <sz val="10"/>
        <rFont val="Arial"/>
        <family val="2"/>
      </rPr>
      <t>2</t>
    </r>
    <r>
      <rPr>
        <sz val="11"/>
        <rFont val="Arial"/>
        <family val="2"/>
      </rPr>
      <t>O</t>
    </r>
    <r>
      <rPr>
        <vertAlign val="subscript"/>
        <sz val="11"/>
        <rFont val="Arial"/>
        <family val="2"/>
      </rPr>
      <t>5</t>
    </r>
  </si>
  <si>
    <r>
      <t>K</t>
    </r>
    <r>
      <rPr>
        <vertAlign val="subscript"/>
        <sz val="12"/>
        <rFont val="Arial"/>
        <family val="2"/>
      </rPr>
      <t>2</t>
    </r>
    <r>
      <rPr>
        <sz val="12"/>
        <rFont val="Arial"/>
        <family val="2"/>
      </rPr>
      <t>O</t>
    </r>
  </si>
  <si>
    <r>
      <t xml:space="preserve">Es werden </t>
    </r>
    <r>
      <rPr>
        <b/>
        <sz val="16"/>
        <rFont val="Arial"/>
        <family val="2"/>
      </rPr>
      <t>3</t>
    </r>
    <r>
      <rPr>
        <sz val="16"/>
        <rFont val="Arial"/>
        <family val="2"/>
      </rPr>
      <t xml:space="preserve"> </t>
    </r>
    <r>
      <rPr>
        <b/>
        <sz val="16"/>
        <rFont val="Arial"/>
        <family val="2"/>
      </rPr>
      <t>verschiedene Niveaus</t>
    </r>
    <r>
      <rPr>
        <sz val="16"/>
        <rFont val="Arial"/>
        <family val="2"/>
      </rPr>
      <t xml:space="preserve"> dargestellt.</t>
    </r>
  </si>
  <si>
    <t>Grafiken zu den Ergebnissen ( DB, Kostenstruktur, Akh-Verwertung)</t>
  </si>
  <si>
    <t>nachhaltige Preise</t>
  </si>
  <si>
    <t>Neubaukosten Aufzuchtplatz KTBL Öko 2010, S. 623 - 340-580 €/TP KTBL 2014/15 S.694 540 €</t>
  </si>
  <si>
    <t>Ferkelgewicht- Faustzahlen Öko  LB S. 540 28 kg, LFL Bayern 30 kg ///  Ferkelauzuchtsfutter Faustzahlen Öko ab 12 kg (absetzten) LFL ab 13 kg</t>
  </si>
  <si>
    <t>Zinsansatz Vieh- und Umlaufverm.</t>
  </si>
  <si>
    <t>Summesonst Kosten Kosten, KTBL Faustzahlen Öko S.540 Sonstige Direktkosten+ variable Maschienen Kosten =402 €/Prod/Sau*a</t>
  </si>
  <si>
    <t>Sonstige variable  Kosten</t>
  </si>
  <si>
    <t>Einstreu KTBL, ÖkoLandbau2010, S.636 0,2-0,8 kg je TP*d abhängig von der haltungsform dh. 25-100 kg je Tier   (Stroh dt =12-14 €)</t>
  </si>
  <si>
    <t>Akh, KTBL Faustzahlen ökoLb 2015, S.537 2,6-3,1 bei 350-750 Mastplätzen</t>
  </si>
  <si>
    <t xml:space="preserve">(netto in </t>
  </si>
  <si>
    <t>€/kg Reinnährstoff)</t>
  </si>
  <si>
    <t>Ferkelbasispreis 28 kg (o. Mwst)</t>
  </si>
  <si>
    <t>Futterverwertung Ferkel (ab 11 kg LG)                              1:</t>
  </si>
  <si>
    <t>Ferkelfutter / Sau ab 11 kg LG</t>
  </si>
  <si>
    <t>Futterverbaruch: Wiedmann 40,2 kg</t>
  </si>
  <si>
    <t>Besamung Eber: Konv. 30 €, LFL 28 €, Wiedmann 21 €, KTBL 45 €</t>
  </si>
  <si>
    <t>Ferkelaufzuchtfutter: Wiedamnne 59 €, Wucherpfennig 65€/dt  ///Einstreumenge nach KTBL 2010 S. 614: 924kg /Einstreu Sau und a + 29 kg je Ferkel, nach NÄBI 1095 kg /Sau und Jahr inkl. Ferkel (Stroh: 12-14 €/dt)</t>
  </si>
  <si>
    <t>Futterverwertung: Wiedmann 1:3,35; KTBL 2014/15 S. 704-- 1:2,8-3,8; Wucherpfennig 1:3,1</t>
  </si>
  <si>
    <t xml:space="preserve">Energie/Wasser: Wiedmann 5 €; KTBL, ÖkoLandbau2010, S.636 Aussenklimastall mit Ruhekisten 2,4m³ Wasser, 2,5-3 kWh ( TP*a) KTBL Betriebsplanung Lw 2014/15 S. 709/710 3,5 kWh Strom 20 kWh Heizung -------Annahme---20 cent/kWh, 2€/m³H2O </t>
  </si>
  <si>
    <t>Umtriebe: Wiedmann 21 Leertage, KTBL 15</t>
  </si>
  <si>
    <t>Menge Kraftfutter Sau: Wiedmann 13,3 dt 46,60 €; Wucherpfennig 14 dt/ Sau a 47 €//// Strom inkl. Heizung KTBL ÖL 2010 S. 624 &amp; 615 (11,2 je ferkelaufzuchtsplatz, 237,9 je prod Sau*a)---&gt;18 Ferkel=&gt; 439,5 kWh gesamtbedarf bei 20 cent Netto =&gt;Stromkosten =88 €</t>
  </si>
  <si>
    <t>Vermarktungsgebühr:Rebio</t>
  </si>
  <si>
    <t>€/kg SG</t>
  </si>
  <si>
    <t>sonstige variable Kosten</t>
  </si>
  <si>
    <t>Vermarktungskosten</t>
  </si>
  <si>
    <t xml:space="preserve">                                   Futterverwertung       1:                                             </t>
  </si>
  <si>
    <t>Zinsansatz Umlaufvermögen</t>
  </si>
  <si>
    <t>Sauenfutter nach Wucherpfennig und KTBL  Faustzahlen Öko 2015 abgeglichen mit Kehl am 4.2.2016</t>
  </si>
  <si>
    <t>Futterkosten: Wiedmann 48 €; KTBL Betriebsplanung Lw 2014/15 S. 546, 47€/dt Vormast, 42€/dt Endmast + 2-4 € Zuschlag bei Verbandsware (Wucherpfennig), abgeglichen mit Kehl 50€ am 4.2.2016</t>
  </si>
  <si>
    <t xml:space="preserve"> - Bei der Zuchtsau wird differenziert nach Anzahl der verkauften Ferkel</t>
  </si>
  <si>
    <t xml:space="preserve">    Tierarzt, Medikamente (inkl. Myko)</t>
  </si>
  <si>
    <t xml:space="preserve">Sonstige variable Kosten /Sau </t>
  </si>
  <si>
    <t>€/Pl.</t>
  </si>
  <si>
    <t xml:space="preserve">    var. Masch.kost. inkl. Mistausbr.</t>
  </si>
  <si>
    <t>Jungsauenpreis: Wiedmann 500 €; KTBL Faustzahlen Öko (475 €)// Verluste versicherungen: KTBL 14/15 S.676 Tierseuchnekasse 0,89, Viehversicherung 7,Ertragsschadenversicherung 15,8)  LFL Bayern 23 € in</t>
  </si>
  <si>
    <t xml:space="preserve">tgl Zunnahmen: Wiedmann 725, KTBL 2014/15 S. 704-- 720 g // Tierarzt  KTBL 2014/15 S. 707 1 € jeTier , Reinigung Deesinf. 0,30 € TP*a </t>
  </si>
  <si>
    <t>Qualitätszuschlag: Rebio,Bei Edekaschweinen mit schwererer Maske 3,75 statt 3,70/// Handelsspannen vergleiche VoKo Sau LEL, konventionell 3 €</t>
  </si>
  <si>
    <t>Förderung nach dem Agrarinvestitionsförderprogramm BW (Richtli. 2015)</t>
  </si>
  <si>
    <t>(nach Stall-, Lager-, Ausbringverlusten)</t>
  </si>
  <si>
    <t>Kosten (inkl. Mwst.)</t>
  </si>
  <si>
    <t>Kalkulatorisches Betriebszweigergebnis/ Platz</t>
  </si>
  <si>
    <t>Sonstige variable Kosten (inkl. Zinsansatz)</t>
  </si>
  <si>
    <r>
      <t>Leistung insg. / Tier</t>
    </r>
    <r>
      <rPr>
        <sz val="11"/>
        <color indexed="8"/>
        <rFont val="Arial"/>
        <family val="2"/>
      </rPr>
      <t xml:space="preserve"> (inkl. Düngerwert)  </t>
    </r>
  </si>
  <si>
    <t>Mastfutter (o. Mwst.)</t>
  </si>
  <si>
    <t>Sonstige variable Kosten / Sau (inkl. Zinsansatz)</t>
  </si>
  <si>
    <r>
      <t>Summe Leistungen</t>
    </r>
    <r>
      <rPr>
        <sz val="12"/>
        <rFont val="Arial"/>
        <family val="2"/>
      </rPr>
      <t xml:space="preserve"> (inkl. Düngerwert)</t>
    </r>
  </si>
  <si>
    <t>Jungsauenpreis (o. Mwst.)</t>
  </si>
  <si>
    <t>Altsauenpreis M 1 (o. Mwst.)</t>
  </si>
  <si>
    <t>Mwst.satz landwirtschaftliche Erzeugnisse</t>
  </si>
  <si>
    <t>Basispreis / kg Schlachtgewicht (o. Mwst.)</t>
  </si>
  <si>
    <t>Durchschnittlicher Mengen- und Qualitätszuschlag</t>
  </si>
  <si>
    <t xml:space="preserve"> - zur Deckung der Vollkosten (langfristige Produktionsschwelle)</t>
  </si>
  <si>
    <t xml:space="preserve"> - zur Deckung der var.Kosten (kurzfristige Produktionsschwelle)</t>
  </si>
  <si>
    <t>Handelsspanne / Ferkel (wenn nicht in Zuschlägen enthalten)</t>
  </si>
  <si>
    <t>Lohnansatz / Mastplatz</t>
  </si>
  <si>
    <r>
      <t>Erforderlicher Basispreis je kg SG (netto)</t>
    </r>
    <r>
      <rPr>
        <b/>
        <sz val="14"/>
        <color indexed="10"/>
        <rFont val="Arial"/>
        <family val="2"/>
      </rPr>
      <t xml:space="preserve"> </t>
    </r>
  </si>
  <si>
    <t xml:space="preserve"> -zur Deckung der Vollkosten (langfristige Prod.schwelle) ohne Prämie</t>
  </si>
  <si>
    <t xml:space="preserve"> -zur Deckung der Vollkosten (langfristige Prod.schwelle) mit Prämie</t>
  </si>
  <si>
    <t xml:space="preserve"> -zur Deckung der variablen Kosten (kurzfristige Prod.schwelle)</t>
  </si>
  <si>
    <t xml:space="preserve">Gebäudekosten Sau KTBL Faustzahlen Öko S. 539 inkl. Außenanlagen und Nachzucht 8240-8.640 € (abzgl. Nachzucht= 8.000); Wucherpfennig 8-9 tsd. € </t>
  </si>
  <si>
    <t>Gemeinkosten je Mastplatz kon. VOKO Sau LEL 3 € (in Öko etwas höher da kleinere Bestände)</t>
  </si>
  <si>
    <t>Richtlinien</t>
  </si>
  <si>
    <r>
      <rPr>
        <b/>
        <sz val="36"/>
        <rFont val="Arial"/>
        <family val="2"/>
      </rPr>
      <t xml:space="preserve">VOKO ÖKO-SAU   </t>
    </r>
    <r>
      <rPr>
        <sz val="28"/>
        <rFont val="Arial"/>
        <family val="2"/>
      </rPr>
      <t xml:space="preserve">                                             </t>
    </r>
    <r>
      <rPr>
        <sz val="20"/>
        <rFont val="Arial"/>
        <family val="2"/>
      </rPr>
      <t xml:space="preserve">    (Vollkosten der ökologischen Schweinehaltung)</t>
    </r>
  </si>
  <si>
    <t xml:space="preserve"> - Bei der Schweinemast wird nach der Futterverwertung unterschieden</t>
  </si>
  <si>
    <t xml:space="preserve"> - Kalkulatorisches Betriebszweigergebnis (=Unternehmergewinn): DB abzgl. Festkosten und Lohnansatz </t>
  </si>
  <si>
    <t xml:space="preserve"> - mit Pauschalierung der Umsatzsteuer oder Regelbesteuerung</t>
  </si>
  <si>
    <t xml:space="preserve"> - mit oder ohne Investitionsförderung</t>
  </si>
  <si>
    <t xml:space="preserve"> - Nährstoffwerte und Gehalte</t>
  </si>
  <si>
    <t xml:space="preserve"> - variable und feste Kosten, Zunahmen, Schlachtgewicht</t>
  </si>
  <si>
    <r>
      <rPr>
        <b/>
        <sz val="16"/>
        <rFont val="Arial"/>
        <family val="2"/>
      </rPr>
      <t>Die Ergebnisstabellen bilden die</t>
    </r>
    <r>
      <rPr>
        <sz val="16"/>
        <rFont val="Arial"/>
        <family val="2"/>
      </rPr>
      <t xml:space="preserve"> wichtigsten ökonomischen Kriterien ab, wie z.B.</t>
    </r>
  </si>
  <si>
    <r>
      <t xml:space="preserve">Altsauenpreis KTBL/ Wucherpfennig (1,8-2,15 €/kg SG) /// Tierarzt: Wucherpfennig /2016- 100 €; Wiedmann 110; </t>
    </r>
    <r>
      <rPr>
        <b/>
        <sz val="10"/>
        <rFont val="Arial"/>
        <family val="2"/>
      </rPr>
      <t>KTBL 14/15 S. 676 30- 70 € Sau + 4 € (KTBL 3 € Kastration je Ferkel) bezogen auf alle Ferkel eines Wurfs</t>
    </r>
  </si>
  <si>
    <t>Ferkelfutter / Ferkel (inkl. 5 kg Saugferkelfutter)</t>
  </si>
  <si>
    <t>Raufutter je Sau</t>
  </si>
  <si>
    <t>Raufutter Vollkosten (o. MwSt.)</t>
  </si>
  <si>
    <t>dt FM</t>
  </si>
  <si>
    <t>€/dt FM</t>
  </si>
  <si>
    <t>Raufutter je Sau (Frischmasse)</t>
  </si>
  <si>
    <t>Raufutter bei Kleegras(silage) 4,5 dt FM/ Jahr ( KTBLÖko S615) und davon 2/3 als Silage (1dt FM=8,2 €) und 1/3 frisch (1dt FM =2,3 €)~ Raufutter 6,2 €/dt Fm  (Kalkdaten ÖkoFutterbau, LEL 2015)</t>
  </si>
  <si>
    <t>Raufutter je Mastschwein (Frischmasse)</t>
  </si>
  <si>
    <t>Mastfutterkosten/Tier</t>
  </si>
  <si>
    <t>bezogen aufs mittlere Niveau der Ferkelproduktion</t>
  </si>
  <si>
    <r>
      <t>deckenden</t>
    </r>
    <r>
      <rPr>
        <b/>
        <sz val="14"/>
        <color indexed="8"/>
        <rFont val="Arial"/>
        <family val="2"/>
      </rPr>
      <t xml:space="preserve"> Ferkelpreis </t>
    </r>
    <r>
      <rPr>
        <b/>
        <sz val="10"/>
        <color indexed="8"/>
        <rFont val="Arial"/>
        <family val="2"/>
      </rPr>
      <t>(bei mittlerer Anzahl verk. Ferkel/Sau)</t>
    </r>
  </si>
  <si>
    <t xml:space="preserve"> - Kostendeckende Ferkel- bzw. Schlachtschweinepreis</t>
  </si>
  <si>
    <t>Raufutter: KTBL öko 2010 S. 640: 146 kg Grobfuter je Tp und a bei 2,57 Umtrieben=0,57 dt je Tier, Sudrum A. 70 kg / Tier //// Raufutterkosten bei Kleegras(silage) davon 2/3 als Silage (1dt FM=8,2 €) und 1/3 frisch (1dt FM =2,3 €)~ Raufutter 6,2 €/dt Fm  (Kalkdaten ÖkoFutterbau, LEL 2015)</t>
  </si>
  <si>
    <t xml:space="preserve">je Sau    </t>
  </si>
  <si>
    <r>
      <t xml:space="preserve">Erforderlicher Ferkelpreis 28 kg </t>
    </r>
    <r>
      <rPr>
        <b/>
        <sz val="12"/>
        <color indexed="8"/>
        <rFont val="Arial"/>
        <family val="2"/>
      </rPr>
      <t>(o. Mwst)</t>
    </r>
  </si>
  <si>
    <r>
      <t xml:space="preserve">               </t>
    </r>
    <r>
      <rPr>
        <b/>
        <sz val="22"/>
        <rFont val="Arial"/>
        <family val="2"/>
      </rPr>
      <t>VOKO ÖKO-Mastschwein</t>
    </r>
    <r>
      <rPr>
        <sz val="22"/>
        <rFont val="Arial"/>
        <family val="2"/>
      </rPr>
      <t xml:space="preserve">  </t>
    </r>
  </si>
  <si>
    <t>Berechnungen zur Schweinemast setzen Angaben zum Verfahren "Öko-Zuchtsau" (Zellen D 6 bis H 11) voraus !</t>
  </si>
  <si>
    <r>
      <t xml:space="preserve">Erzeugungskosten je Tier beim </t>
    </r>
    <r>
      <rPr>
        <b/>
        <sz val="14"/>
        <color indexed="10"/>
        <rFont val="Arial"/>
        <family val="2"/>
      </rPr>
      <t>unterstellten</t>
    </r>
    <r>
      <rPr>
        <b/>
        <sz val="14"/>
        <color indexed="8"/>
        <rFont val="Arial"/>
        <family val="2"/>
      </rPr>
      <t xml:space="preserve"> Ferkelbasispreis</t>
    </r>
    <r>
      <rPr>
        <b/>
        <sz val="11"/>
        <color indexed="8"/>
        <rFont val="Arial"/>
        <family val="2"/>
      </rPr>
      <t xml:space="preserve"> </t>
    </r>
    <r>
      <rPr>
        <b/>
        <sz val="14"/>
        <color indexed="8"/>
        <rFont val="Arial"/>
        <family val="2"/>
      </rPr>
      <t>von</t>
    </r>
  </si>
  <si>
    <r>
      <t xml:space="preserve">Saugferkelfutter/Ferkelstarter: </t>
    </r>
    <r>
      <rPr>
        <b/>
        <sz val="10"/>
        <rFont val="Arial"/>
        <family val="2"/>
      </rPr>
      <t xml:space="preserve">KTBL S.674 bei 40 Tagen Säugezeit 20-40 kg / Wurf ( ~ 3kg /Ferkel) + 2 kg je Ferkel nach dem Absetzten </t>
    </r>
    <r>
      <rPr>
        <sz val="10"/>
        <rFont val="Arial"/>
        <family val="2"/>
      </rPr>
      <t xml:space="preserve">Faustzahlen Öl S.540 32 kg/DG bei 8,9 Ferkel =3,6 kg/ Ferkel a 0,84-1,20 €/kg </t>
    </r>
  </si>
  <si>
    <t>Saugferkelfutter/ Ferkel (o. Mwst.)</t>
  </si>
  <si>
    <t>Ferkelaufzuchtfutter/ Ferkel (ab 11 kg LG abzg. Saugferkelf.)</t>
  </si>
  <si>
    <t>Wirtschaftsdüngeranfall /Tier</t>
  </si>
  <si>
    <r>
      <t xml:space="preserve">               </t>
    </r>
    <r>
      <rPr>
        <b/>
        <sz val="22"/>
        <rFont val="Arial"/>
        <family val="2"/>
      </rPr>
      <t>VOKO ÖKO-SAU</t>
    </r>
  </si>
  <si>
    <t>Daten für die Weiterverarbeitung in den Tabellen</t>
  </si>
  <si>
    <t>VOKO ÖKO-SAU Vergleich Ferkelerzeugung und Mast</t>
  </si>
  <si>
    <t>Ferkelbasispreis (28 kg)</t>
  </si>
  <si>
    <t>tatsächliches Ferkelgewicht in kg</t>
  </si>
  <si>
    <r>
      <t>Nährstoffpreise nach LEL Kalkulationsdaten öko. Marktfrüchte--</t>
    </r>
    <r>
      <rPr>
        <b/>
        <sz val="10"/>
        <rFont val="Arial"/>
        <family val="2"/>
      </rPr>
      <t>-konventionelle Ansätze:1,00//0,80//0,60 !!!</t>
    </r>
  </si>
  <si>
    <r>
      <t xml:space="preserve">Grundeinstellung </t>
    </r>
    <r>
      <rPr>
        <b/>
        <sz val="14"/>
        <rFont val="Arial"/>
        <family val="2"/>
      </rPr>
      <t>ohne</t>
    </r>
    <r>
      <rPr>
        <sz val="14"/>
        <rFont val="Arial"/>
        <family val="2"/>
      </rPr>
      <t xml:space="preserve"> Investitionsförderung und/oder FAKT</t>
    </r>
  </si>
  <si>
    <r>
      <t xml:space="preserve">Grundeinstellung </t>
    </r>
    <r>
      <rPr>
        <b/>
        <sz val="14"/>
        <rFont val="Arial"/>
        <family val="2"/>
      </rPr>
      <t>ohne</t>
    </r>
    <r>
      <rPr>
        <sz val="14"/>
        <rFont val="Arial"/>
        <family val="2"/>
      </rPr>
      <t xml:space="preserve"> Investitionsförderung und/oder FAKTn (siehe Blatt Förderung)</t>
    </r>
  </si>
  <si>
    <t>Gelbe Felder können indiv. angepasst werden</t>
  </si>
  <si>
    <t>Hier geht es per Mausklick zu Berechnung</t>
  </si>
  <si>
    <t xml:space="preserve">maßgebl. Neubaukosten/Sauenpl. </t>
  </si>
  <si>
    <t xml:space="preserve">maßgebl. Neubaukosten/Aufz.pl. </t>
  </si>
  <si>
    <t>maßgebl. Neubaukosten je Sau (einschl. Ferkelaufzuchtplatz)</t>
  </si>
  <si>
    <t>Festkosten Stall je Sau und Jahr</t>
  </si>
  <si>
    <t>maßgebl. Neubaukosten je Platz</t>
  </si>
  <si>
    <t>Ferkelgewicht (Eingabe in Zelle D 21)</t>
  </si>
  <si>
    <t xml:space="preserve">Kosten je Ferkel </t>
  </si>
  <si>
    <t>Raufutterkosten je Tier</t>
  </si>
  <si>
    <r>
      <t>Ferklepreis aktuell:</t>
    </r>
    <r>
      <rPr>
        <sz val="10"/>
        <color rgb="FFFF0000"/>
        <rFont val="Arial"/>
        <family val="2"/>
      </rPr>
      <t>AMI Abruf 26.07.2018</t>
    </r>
    <r>
      <rPr>
        <sz val="10"/>
        <rFont val="Arial"/>
        <family val="2"/>
      </rPr>
      <t xml:space="preserve">,140,53€; Rebio 130 € +10 Euro Edeka zuschlag Basisgewicht 28; Top Agrar 1/2016 S. 170 135-140€  je 25 kg Tier, Futterverwertung, Faustzahlen für den Öl. S.538 1:2,3 </t>
    </r>
    <r>
      <rPr>
        <b/>
        <sz val="10"/>
        <rFont val="Arial"/>
        <family val="2"/>
      </rPr>
      <t>KTBL 2010 S. 621 1:2,3</t>
    </r>
    <r>
      <rPr>
        <sz val="10"/>
        <rFont val="Arial"/>
        <family val="2"/>
      </rPr>
      <t>, Wucherpfennig 0,42 dt / Ferkel</t>
    </r>
  </si>
  <si>
    <t>rechnerisch bezogen auf 1 Stallplatz /Jahr</t>
  </si>
  <si>
    <t>Nährstoffgehalte nach DÜV N-/P reduziert, K2O nach KTBL 2017, Zuchtsau S.658, 1,2kg Einstreu/d., Mastschwein S.683 0,8kg Einstreu/d.</t>
  </si>
  <si>
    <t>Düngerwert je Stallplatz</t>
  </si>
  <si>
    <r>
      <t>Mengen und Qualitätszuschlag: Rebio 10 € für Edekaferkel, sonst kein Zuschlag ///</t>
    </r>
    <r>
      <rPr>
        <sz val="10"/>
        <color rgb="FFFF0000"/>
        <rFont val="Arial"/>
        <family val="2"/>
      </rPr>
      <t>Düngerwert nach DüV und KTBL</t>
    </r>
  </si>
  <si>
    <t>Düngerwert je Stallplatz (o. Mwst.)</t>
  </si>
  <si>
    <t>Faktor Düngewert Jahr/ erzeugte Tiere</t>
  </si>
  <si>
    <r>
      <t xml:space="preserve">Gewichtszuschlag; </t>
    </r>
    <r>
      <rPr>
        <b/>
        <sz val="10"/>
        <rFont val="Arial"/>
        <family val="2"/>
      </rPr>
      <t>Bioland 27.07.18</t>
    </r>
    <r>
      <rPr>
        <sz val="10"/>
        <rFont val="Arial"/>
        <family val="2"/>
      </rPr>
      <t>, Rebio 2,25 €; LFL Deckungsbeiträgen Aufruf 14.1.2016 3 €</t>
    </r>
  </si>
  <si>
    <t>Erstellt 07/2018</t>
  </si>
  <si>
    <t xml:space="preserve">Vers. 01/2018
</t>
  </si>
  <si>
    <t>Jörg Miez, Katrin Schabel, Dr. Volker Segger, Abt. 2, LEL Schwäbisch Gmünd</t>
  </si>
  <si>
    <t xml:space="preserve"> - Stallplatzkosten</t>
  </si>
  <si>
    <t>Quellenangaben:Michael Heindl, MEIKA;Thorsten Ott, Bioland;Öko KTBL 2017; C. Wucherpfennig, Top Agrar 1/2016 S. S10; Rebio, Auskunft per E-Mail vom 29.1.2016; RKW Kehl, Telefonat am 04.02.2016; R. Wiedmann, Vortrag vom 14.10.2015 an der LEL; Faustzahlen für den Ökologischen Landbau, KTBL 2015; Betriebsplanung Landwirtschaft 2014/15, KTBL 2015; Kalkulationsdaten ökologischer Futterbau, LEL 2015, KTBL Ökolandbau 2017, Bioland Thorsten Ott</t>
  </si>
  <si>
    <t xml:space="preserve">©Landesanstalt für Landwirtschaft, Ernährung und Ländlichen Raum (LEL),Oberbettringer Str. 162,                                                                                                                       73525 Schwäbisch Gmünd Tel. 07171 / 917-100  Fax 917-101  e-Mail: poststelle@lel.bwl.de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</si>
</sst>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0.00\ &quot;€&quot;;[Red]\-#,##0.00\ &quot;€&quot;"/>
    <numFmt numFmtId="164" formatCode="_-* #,##0.00\ &quot;DM&quot;_-;\-* #,##0.00\ &quot;DM&quot;_-;_-* &quot;-&quot;??\ &quot;DM&quot;_-;_-@_-"/>
    <numFmt numFmtId="165" formatCode="0.0000"/>
    <numFmt numFmtId="166" formatCode="0.000"/>
    <numFmt numFmtId="167" formatCode="0.0"/>
    <numFmt numFmtId="168" formatCode="#,##0.0"/>
    <numFmt numFmtId="169" formatCode="0.0%"/>
    <numFmt numFmtId="170" formatCode="#,##0.00\ [$€-1]"/>
    <numFmt numFmtId="171" formatCode="#,##0\ [$€-1]"/>
    <numFmt numFmtId="172" formatCode="#,##0.00\ &quot;€&quot;"/>
    <numFmt numFmtId="173" formatCode="#,##0.00_ ;[Red]\-#,##0.00\ "/>
    <numFmt numFmtId="174" formatCode="#,##0_ ;[Red]\-#,##0\ "/>
    <numFmt numFmtId="175" formatCode="#,##0.0&quot; %&quot;"/>
    <numFmt numFmtId="176" formatCode="#,##0&quot; € je Platz  x&quot;"/>
    <numFmt numFmtId="177" formatCode="#,##0.00&quot; €/AKh&quot;"/>
    <numFmt numFmtId="178" formatCode="#,##0.0&quot; AKh je Platz  x &quot;"/>
    <numFmt numFmtId="179" formatCode="#,##0.00&quot; €/kg SG netto&quot;"/>
    <numFmt numFmtId="180" formatCode="#,##0.0&quot; kg SG x&quot;"/>
  </numFmts>
  <fonts count="73" x14ac:knownFonts="1">
    <font>
      <sz val="10"/>
      <name val="Arial"/>
    </font>
    <font>
      <sz val="10"/>
      <name val="Arial"/>
      <family val="2"/>
    </font>
    <font>
      <sz val="12"/>
      <name val="Arial"/>
      <family val="2"/>
    </font>
    <font>
      <sz val="16"/>
      <name val="Arial"/>
      <family val="2"/>
    </font>
    <font>
      <b/>
      <sz val="16"/>
      <name val="Arial"/>
      <family val="2"/>
    </font>
    <font>
      <sz val="14"/>
      <name val="Arial"/>
      <family val="2"/>
    </font>
    <font>
      <b/>
      <sz val="14"/>
      <name val="Arial"/>
      <family val="2"/>
    </font>
    <font>
      <b/>
      <sz val="14"/>
      <name val="Arial"/>
      <family val="2"/>
    </font>
    <font>
      <sz val="13"/>
      <name val="Arial"/>
      <family val="2"/>
    </font>
    <font>
      <sz val="14"/>
      <color indexed="8"/>
      <name val="Arial"/>
      <family val="2"/>
    </font>
    <font>
      <b/>
      <sz val="14"/>
      <color indexed="10"/>
      <name val="Arial"/>
      <family val="2"/>
    </font>
    <font>
      <b/>
      <sz val="14"/>
      <color indexed="16"/>
      <name val="Arial"/>
      <family val="2"/>
    </font>
    <font>
      <sz val="18"/>
      <name val="Arial"/>
      <family val="2"/>
    </font>
    <font>
      <sz val="24"/>
      <name val="Arial"/>
      <family val="2"/>
    </font>
    <font>
      <sz val="20"/>
      <name val="Arial"/>
      <family val="2"/>
    </font>
    <font>
      <sz val="22"/>
      <name val="Arial"/>
      <family val="2"/>
    </font>
    <font>
      <sz val="14"/>
      <color indexed="10"/>
      <name val="Arial"/>
      <family val="2"/>
    </font>
    <font>
      <sz val="16"/>
      <color indexed="8"/>
      <name val="Arial"/>
      <family val="2"/>
    </font>
    <font>
      <b/>
      <sz val="18"/>
      <color indexed="8"/>
      <name val="Arial"/>
      <family val="2"/>
    </font>
    <font>
      <sz val="18"/>
      <color indexed="8"/>
      <name val="Arial"/>
      <family val="2"/>
    </font>
    <font>
      <sz val="10"/>
      <color indexed="8"/>
      <name val="Arial"/>
      <family val="2"/>
    </font>
    <font>
      <b/>
      <sz val="20"/>
      <color indexed="8"/>
      <name val="Arial"/>
      <family val="2"/>
    </font>
    <font>
      <sz val="12"/>
      <color indexed="8"/>
      <name val="Arial"/>
      <family val="2"/>
    </font>
    <font>
      <b/>
      <sz val="14"/>
      <color indexed="8"/>
      <name val="Arial"/>
      <family val="2"/>
    </font>
    <font>
      <sz val="11"/>
      <color indexed="8"/>
      <name val="Arial"/>
      <family val="2"/>
    </font>
    <font>
      <b/>
      <sz val="20"/>
      <color indexed="17"/>
      <name val="Arial"/>
      <family val="2"/>
    </font>
    <font>
      <b/>
      <sz val="20"/>
      <color indexed="12"/>
      <name val="Arial"/>
      <family val="2"/>
    </font>
    <font>
      <b/>
      <sz val="12"/>
      <color indexed="12"/>
      <name val="Arial"/>
      <family val="2"/>
    </font>
    <font>
      <u/>
      <sz val="7.5"/>
      <color indexed="12"/>
      <name val="Arial"/>
      <family val="2"/>
    </font>
    <font>
      <b/>
      <sz val="12"/>
      <name val="Arial"/>
      <family val="2"/>
    </font>
    <font>
      <b/>
      <sz val="12"/>
      <color indexed="8"/>
      <name val="Arial"/>
      <family val="2"/>
    </font>
    <font>
      <sz val="11"/>
      <name val="Arial"/>
      <family val="2"/>
    </font>
    <font>
      <sz val="10"/>
      <name val="Arial"/>
      <family val="2"/>
    </font>
    <font>
      <b/>
      <sz val="10"/>
      <color indexed="8"/>
      <name val="Arial"/>
      <family val="2"/>
    </font>
    <font>
      <b/>
      <sz val="10"/>
      <name val="Arial"/>
      <family val="2"/>
    </font>
    <font>
      <sz val="22"/>
      <color indexed="10"/>
      <name val="Arial"/>
      <family val="2"/>
    </font>
    <font>
      <sz val="12"/>
      <color indexed="10"/>
      <name val="Arial"/>
      <family val="2"/>
    </font>
    <font>
      <b/>
      <sz val="11"/>
      <color indexed="8"/>
      <name val="Arial"/>
      <family val="2"/>
    </font>
    <font>
      <b/>
      <sz val="14"/>
      <color indexed="17"/>
      <name val="Arial"/>
      <family val="2"/>
    </font>
    <font>
      <b/>
      <sz val="14"/>
      <color indexed="12"/>
      <name val="Arial"/>
      <family val="2"/>
    </font>
    <font>
      <sz val="14"/>
      <color indexed="17"/>
      <name val="Arial"/>
      <family val="2"/>
    </font>
    <font>
      <sz val="14"/>
      <color indexed="12"/>
      <name val="Arial"/>
      <family val="2"/>
    </font>
    <font>
      <sz val="10"/>
      <color indexed="10"/>
      <name val="Arial"/>
      <family val="2"/>
    </font>
    <font>
      <b/>
      <sz val="11"/>
      <color indexed="10"/>
      <name val="Arial"/>
      <family val="2"/>
    </font>
    <font>
      <b/>
      <sz val="11"/>
      <name val="Arial"/>
      <family val="2"/>
    </font>
    <font>
      <sz val="8"/>
      <color indexed="81"/>
      <name val="Tahoma"/>
      <family val="2"/>
    </font>
    <font>
      <b/>
      <sz val="36"/>
      <name val="Arial"/>
      <family val="2"/>
    </font>
    <font>
      <sz val="8"/>
      <name val="Arial"/>
      <family val="2"/>
    </font>
    <font>
      <b/>
      <sz val="22"/>
      <name val="Arial"/>
      <family val="2"/>
    </font>
    <font>
      <sz val="13"/>
      <color indexed="62"/>
      <name val="Arial"/>
      <family val="2"/>
    </font>
    <font>
      <sz val="10"/>
      <color indexed="62"/>
      <name val="Arial"/>
      <family val="2"/>
    </font>
    <font>
      <sz val="12"/>
      <color indexed="62"/>
      <name val="Arial"/>
      <family val="2"/>
    </font>
    <font>
      <b/>
      <u/>
      <sz val="11"/>
      <name val="Arial"/>
      <family val="2"/>
    </font>
    <font>
      <sz val="28"/>
      <name val="Arial"/>
      <family val="2"/>
    </font>
    <font>
      <b/>
      <sz val="18"/>
      <name val="Arial"/>
      <family val="2"/>
    </font>
    <font>
      <b/>
      <i/>
      <sz val="10"/>
      <name val="Arial"/>
      <family val="2"/>
    </font>
    <font>
      <b/>
      <u/>
      <sz val="16"/>
      <color indexed="12"/>
      <name val="Arial"/>
      <family val="2"/>
    </font>
    <font>
      <vertAlign val="subscript"/>
      <sz val="10"/>
      <name val="Arial"/>
      <family val="2"/>
    </font>
    <font>
      <vertAlign val="subscript"/>
      <sz val="11"/>
      <name val="Arial"/>
      <family val="2"/>
    </font>
    <font>
      <vertAlign val="subscript"/>
      <sz val="12"/>
      <name val="Arial"/>
      <family val="2"/>
    </font>
    <font>
      <sz val="12"/>
      <color theme="9" tint="-0.499984740745262"/>
      <name val="Arial"/>
      <family val="2"/>
    </font>
    <font>
      <sz val="10"/>
      <color theme="9" tint="-0.499984740745262"/>
      <name val="Arial"/>
      <family val="2"/>
    </font>
    <font>
      <sz val="11"/>
      <color theme="9" tint="-0.499984740745262"/>
      <name val="Arial"/>
      <family val="2"/>
    </font>
    <font>
      <sz val="12"/>
      <color theme="3" tint="0.39997558519241921"/>
      <name val="Arial"/>
      <family val="2"/>
    </font>
    <font>
      <sz val="14"/>
      <color rgb="FFFF0000"/>
      <name val="Arial"/>
      <family val="2"/>
    </font>
    <font>
      <b/>
      <sz val="14"/>
      <color theme="9" tint="-0.499984740745262"/>
      <name val="Arial"/>
      <family val="2"/>
    </font>
    <font>
      <b/>
      <sz val="14"/>
      <color theme="3" tint="0.39997558519241921"/>
      <name val="Arial"/>
      <family val="2"/>
    </font>
    <font>
      <sz val="10"/>
      <color rgb="FFFF0000"/>
      <name val="Arial"/>
      <family val="2"/>
    </font>
    <font>
      <sz val="12"/>
      <color rgb="FFFF0000"/>
      <name val="Arial"/>
      <family val="2"/>
    </font>
    <font>
      <b/>
      <sz val="12"/>
      <color rgb="FFFF0000"/>
      <name val="Arial"/>
      <family val="2"/>
    </font>
    <font>
      <b/>
      <u/>
      <sz val="10"/>
      <color indexed="8"/>
      <name val="Arial"/>
      <family val="2"/>
    </font>
    <font>
      <b/>
      <sz val="12"/>
      <color theme="3" tint="0.39997558519241921"/>
      <name val="Arial"/>
      <family val="2"/>
    </font>
    <font>
      <b/>
      <sz val="12"/>
      <color theme="9" tint="-0.499984740745262"/>
      <name val="Arial"/>
      <family val="2"/>
    </font>
  </fonts>
  <fills count="1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FFCC"/>
        <bgColor indexed="64"/>
      </patternFill>
    </fill>
    <fill>
      <patternFill patternType="solid">
        <fgColor rgb="FFCCCCFF"/>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rgb="FFFFFFCC"/>
        <bgColor indexed="64"/>
      </patternFill>
    </fill>
  </fills>
  <borders count="6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s>
  <cellStyleXfs count="4">
    <xf numFmtId="0" fontId="0" fillId="0" borderId="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811">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Fill="1" applyBorder="1" applyAlignment="1">
      <alignment horizontal="center"/>
    </xf>
    <xf numFmtId="0" fontId="0" fillId="0" borderId="0" xfId="0" applyFill="1" applyBorder="1" applyAlignment="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xf numFmtId="166" fontId="5" fillId="0" borderId="0" xfId="0" applyNumberFormat="1" applyFont="1" applyFill="1" applyBorder="1" applyAlignment="1">
      <alignment horizontal="center"/>
    </xf>
    <xf numFmtId="0" fontId="2" fillId="0" borderId="0" xfId="0" applyFont="1" applyBorder="1"/>
    <xf numFmtId="0" fontId="0" fillId="0" borderId="0" xfId="0" applyProtection="1"/>
    <xf numFmtId="0" fontId="0" fillId="0" borderId="0" xfId="0"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0" fontId="2" fillId="0" borderId="0" xfId="0" applyFont="1" applyProtection="1"/>
    <xf numFmtId="0" fontId="8" fillId="0" borderId="0" xfId="0" applyFont="1" applyBorder="1" applyProtection="1"/>
    <xf numFmtId="0" fontId="5" fillId="0" borderId="0" xfId="0" applyFont="1" applyFill="1" applyBorder="1" applyAlignment="1" applyProtection="1">
      <alignment horizont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0" borderId="0" xfId="0" applyFont="1" applyFill="1" applyAlignment="1" applyProtection="1">
      <alignment vertical="center"/>
    </xf>
    <xf numFmtId="0" fontId="0" fillId="0" borderId="0" xfId="0"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7" fillId="0" borderId="0" xfId="0" applyFont="1" applyBorder="1" applyAlignment="1" applyProtection="1">
      <alignment horizontal="center" vertical="center"/>
    </xf>
    <xf numFmtId="1" fontId="7" fillId="0" borderId="0" xfId="0" applyNumberFormat="1" applyFont="1" applyBorder="1" applyAlignment="1" applyProtection="1">
      <alignment horizontal="center" vertical="center"/>
    </xf>
    <xf numFmtId="1" fontId="7" fillId="0" borderId="0" xfId="0" applyNumberFormat="1"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0" fillId="0" borderId="0" xfId="0" applyFill="1" applyBorder="1" applyProtection="1"/>
    <xf numFmtId="0" fontId="5" fillId="0" borderId="0" xfId="0" applyFont="1" applyFill="1" applyBorder="1" applyProtection="1"/>
    <xf numFmtId="0" fontId="8" fillId="0" borderId="0" xfId="0" applyFont="1" applyFill="1" applyBorder="1" applyProtection="1"/>
    <xf numFmtId="0" fontId="7" fillId="0" borderId="0" xfId="0" applyFont="1" applyFill="1" applyBorder="1" applyAlignment="1" applyProtection="1">
      <alignment horizontal="center"/>
    </xf>
    <xf numFmtId="0" fontId="12" fillId="0" borderId="0" xfId="0" applyFont="1"/>
    <xf numFmtId="0" fontId="13" fillId="0" borderId="0" xfId="0" applyFont="1" applyAlignment="1">
      <alignment horizontal="centerContinuous"/>
    </xf>
    <xf numFmtId="0" fontId="12" fillId="0" borderId="0" xfId="0" applyFont="1" applyAlignment="1">
      <alignment horizontal="centerContinuous"/>
    </xf>
    <xf numFmtId="0" fontId="20" fillId="0" borderId="0" xfId="0" applyFont="1" applyProtection="1"/>
    <xf numFmtId="0" fontId="18" fillId="0" borderId="0" xfId="0" applyFont="1" applyFill="1" applyBorder="1" applyProtection="1"/>
    <xf numFmtId="0" fontId="18" fillId="0" borderId="0" xfId="0" applyFont="1" applyFill="1" applyBorder="1" applyAlignment="1" applyProtection="1">
      <alignment horizontal="center"/>
    </xf>
    <xf numFmtId="1" fontId="18" fillId="0" borderId="0" xfId="0" applyNumberFormat="1" applyFont="1" applyFill="1" applyBorder="1" applyAlignment="1" applyProtection="1">
      <alignment horizontal="center"/>
    </xf>
    <xf numFmtId="1" fontId="18" fillId="0" borderId="0" xfId="0" applyNumberFormat="1" applyFont="1" applyFill="1" applyBorder="1" applyAlignment="1" applyProtection="1">
      <alignment horizontal="centerContinuous"/>
    </xf>
    <xf numFmtId="0" fontId="19" fillId="0" borderId="0" xfId="0" applyFont="1" applyFill="1" applyBorder="1" applyAlignment="1" applyProtection="1">
      <alignment horizontal="centerContinuous"/>
    </xf>
    <xf numFmtId="0" fontId="22" fillId="0" borderId="0" xfId="0" applyFont="1" applyProtection="1"/>
    <xf numFmtId="0" fontId="20" fillId="0" borderId="0" xfId="0" applyFont="1"/>
    <xf numFmtId="0" fontId="20" fillId="0" borderId="0" xfId="0" applyFont="1" applyBorder="1" applyProtection="1"/>
    <xf numFmtId="0" fontId="20" fillId="0" borderId="0" xfId="0" applyFont="1" applyAlignment="1" applyProtection="1">
      <alignment vertical="center"/>
    </xf>
    <xf numFmtId="0" fontId="12" fillId="0" borderId="0" xfId="0" applyFont="1" applyAlignment="1">
      <alignment horizontal="left"/>
    </xf>
    <xf numFmtId="164" fontId="12" fillId="0" borderId="0" xfId="3" applyFont="1"/>
    <xf numFmtId="0" fontId="5" fillId="0" borderId="0" xfId="0" applyFont="1"/>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xf numFmtId="0" fontId="5" fillId="0" borderId="22" xfId="0" applyFont="1" applyBorder="1"/>
    <xf numFmtId="0" fontId="6" fillId="0" borderId="0" xfId="0" applyFont="1"/>
    <xf numFmtId="0" fontId="29" fillId="0" borderId="0" xfId="0" applyFont="1" applyAlignment="1">
      <alignment horizontal="left" vertical="center"/>
    </xf>
    <xf numFmtId="0" fontId="29" fillId="0" borderId="0" xfId="0" applyFont="1"/>
    <xf numFmtId="0" fontId="29" fillId="0" borderId="0" xfId="0" applyFont="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3" fillId="0" borderId="0" xfId="0" applyFont="1"/>
    <xf numFmtId="0" fontId="3" fillId="0" borderId="0" xfId="0" applyFont="1" applyProtection="1"/>
    <xf numFmtId="0" fontId="25" fillId="0" borderId="0" xfId="0" applyFont="1"/>
    <xf numFmtId="0" fontId="2" fillId="0" borderId="0" xfId="0" applyFont="1" applyAlignment="1">
      <alignment vertical="center"/>
    </xf>
    <xf numFmtId="0" fontId="3" fillId="0" borderId="0" xfId="0" applyFont="1" applyBorder="1" applyAlignment="1" applyProtection="1">
      <alignment vertical="center"/>
    </xf>
    <xf numFmtId="170" fontId="25" fillId="0" borderId="0" xfId="3" applyNumberFormat="1" applyFont="1" applyAlignment="1">
      <alignment horizontal="center"/>
    </xf>
    <xf numFmtId="170" fontId="26" fillId="0" borderId="0" xfId="3" applyNumberFormat="1" applyFont="1" applyAlignment="1">
      <alignment horizontal="center"/>
    </xf>
    <xf numFmtId="0" fontId="16" fillId="0" borderId="0" xfId="0" applyFont="1" applyProtection="1"/>
    <xf numFmtId="0" fontId="26" fillId="0" borderId="0" xfId="0" applyFont="1" applyAlignment="1">
      <alignment horizontal="left" vertical="top" wrapText="1"/>
    </xf>
    <xf numFmtId="0" fontId="30" fillId="3" borderId="6" xfId="0" applyFont="1" applyFill="1" applyBorder="1" applyProtection="1"/>
    <xf numFmtId="0" fontId="30" fillId="3" borderId="25" xfId="0" applyFont="1" applyFill="1" applyBorder="1" applyProtection="1"/>
    <xf numFmtId="0" fontId="5" fillId="0" borderId="0" xfId="0" applyFont="1" applyProtection="1"/>
    <xf numFmtId="0" fontId="23" fillId="3" borderId="30" xfId="0" applyFont="1" applyFill="1" applyBorder="1" applyProtection="1"/>
    <xf numFmtId="0" fontId="23" fillId="3" borderId="37" xfId="0" applyFont="1" applyFill="1" applyBorder="1" applyProtection="1"/>
    <xf numFmtId="0" fontId="23" fillId="3" borderId="31" xfId="0" applyFont="1" applyFill="1" applyBorder="1" applyProtection="1"/>
    <xf numFmtId="0" fontId="23" fillId="3" borderId="31" xfId="0" applyFont="1" applyFill="1" applyBorder="1" applyAlignment="1" applyProtection="1">
      <alignment horizontal="center"/>
    </xf>
    <xf numFmtId="3" fontId="9" fillId="3" borderId="32" xfId="0" applyNumberFormat="1" applyFont="1" applyFill="1" applyBorder="1" applyAlignment="1" applyProtection="1">
      <alignment horizontal="centerContinuous"/>
    </xf>
    <xf numFmtId="0" fontId="23" fillId="3" borderId="7" xfId="0" applyFont="1" applyFill="1" applyBorder="1" applyProtection="1"/>
    <xf numFmtId="0" fontId="23" fillId="3" borderId="0" xfId="0" applyFont="1" applyFill="1" applyBorder="1" applyProtection="1"/>
    <xf numFmtId="3" fontId="23" fillId="3" borderId="4" xfId="0" applyNumberFormat="1" applyFont="1" applyFill="1" applyBorder="1" applyAlignment="1" applyProtection="1">
      <alignment horizontal="centerContinuous"/>
    </xf>
    <xf numFmtId="0" fontId="23" fillId="3" borderId="22" xfId="0" applyFont="1" applyFill="1" applyBorder="1" applyProtection="1"/>
    <xf numFmtId="0" fontId="23" fillId="3" borderId="22" xfId="0" applyFont="1" applyFill="1" applyBorder="1" applyAlignment="1" applyProtection="1">
      <alignment horizontal="center"/>
    </xf>
    <xf numFmtId="3" fontId="9" fillId="3" borderId="4" xfId="0" applyNumberFormat="1" applyFont="1" applyFill="1" applyBorder="1" applyAlignment="1" applyProtection="1">
      <alignment horizontal="centerContinuous"/>
    </xf>
    <xf numFmtId="2" fontId="31" fillId="2" borderId="12" xfId="0" applyNumberFormat="1" applyFont="1" applyFill="1" applyBorder="1" applyAlignment="1" applyProtection="1">
      <alignment horizontal="center"/>
      <protection locked="0"/>
    </xf>
    <xf numFmtId="0" fontId="32" fillId="6" borderId="7" xfId="0" applyFont="1" applyFill="1" applyBorder="1" applyProtection="1"/>
    <xf numFmtId="0" fontId="32" fillId="6" borderId="0" xfId="0" applyFont="1" applyFill="1" applyBorder="1" applyProtection="1"/>
    <xf numFmtId="0" fontId="32" fillId="6" borderId="6" xfId="0" applyFont="1" applyFill="1" applyBorder="1" applyProtection="1"/>
    <xf numFmtId="0" fontId="32" fillId="6" borderId="25" xfId="0" applyFont="1" applyFill="1" applyBorder="1" applyProtection="1"/>
    <xf numFmtId="0" fontId="30" fillId="0" borderId="0" xfId="0" applyFont="1" applyAlignment="1" applyProtection="1">
      <alignment horizontal="left" vertical="center"/>
    </xf>
    <xf numFmtId="14" fontId="30" fillId="0" borderId="13" xfId="0" applyNumberFormat="1" applyFont="1" applyFill="1" applyBorder="1" applyAlignment="1" applyProtection="1">
      <alignment horizontal="center" vertical="center"/>
    </xf>
    <xf numFmtId="0" fontId="30" fillId="0" borderId="0" xfId="0" applyFont="1" applyAlignment="1" applyProtection="1">
      <alignment horizontal="right" vertical="center"/>
    </xf>
    <xf numFmtId="0" fontId="36" fillId="0" borderId="0" xfId="0" applyFont="1" applyProtection="1"/>
    <xf numFmtId="167" fontId="33" fillId="0" borderId="0" xfId="0" applyNumberFormat="1" applyFont="1" applyFill="1" applyBorder="1" applyAlignment="1" applyProtection="1">
      <alignment horizontal="center"/>
    </xf>
    <xf numFmtId="0" fontId="20" fillId="0" borderId="0" xfId="0" applyFont="1" applyBorder="1" applyAlignment="1" applyProtection="1">
      <alignment vertical="center"/>
    </xf>
    <xf numFmtId="1" fontId="33" fillId="0" borderId="0" xfId="0" applyNumberFormat="1" applyFont="1" applyFill="1" applyBorder="1" applyAlignment="1" applyProtection="1">
      <alignment horizontal="center"/>
    </xf>
    <xf numFmtId="0" fontId="2" fillId="0" borderId="0" xfId="0" applyFont="1" applyFill="1" applyBorder="1" applyAlignment="1">
      <alignment vertical="center"/>
    </xf>
    <xf numFmtId="0" fontId="29" fillId="0" borderId="0" xfId="0" applyFont="1" applyBorder="1" applyAlignment="1" applyProtection="1">
      <alignment vertical="center"/>
    </xf>
    <xf numFmtId="0" fontId="29" fillId="0" borderId="0" xfId="0" applyFont="1" applyBorder="1" applyAlignment="1" applyProtection="1">
      <alignment horizontal="centerContinuous" vertical="center"/>
    </xf>
    <xf numFmtId="0" fontId="30" fillId="6" borderId="30" xfId="0" applyFont="1" applyFill="1" applyBorder="1" applyAlignment="1" applyProtection="1">
      <alignment vertical="center"/>
    </xf>
    <xf numFmtId="0" fontId="30" fillId="6" borderId="37" xfId="0" applyFont="1" applyFill="1" applyBorder="1" applyAlignment="1" applyProtection="1">
      <alignment vertical="center"/>
    </xf>
    <xf numFmtId="0" fontId="30" fillId="6" borderId="31" xfId="0" applyFont="1" applyFill="1" applyBorder="1" applyAlignment="1" applyProtection="1">
      <alignment horizontal="center" vertical="center"/>
    </xf>
    <xf numFmtId="1" fontId="30" fillId="6" borderId="31" xfId="0" applyNumberFormat="1" applyFont="1" applyFill="1" applyBorder="1" applyAlignment="1" applyProtection="1">
      <alignment horizontal="center" vertical="center"/>
    </xf>
    <xf numFmtId="1" fontId="30" fillId="6" borderId="37" xfId="0" applyNumberFormat="1" applyFont="1" applyFill="1" applyBorder="1" applyAlignment="1" applyProtection="1">
      <alignment horizontal="centerContinuous" vertical="center"/>
    </xf>
    <xf numFmtId="0" fontId="30" fillId="6" borderId="32" xfId="0" applyFont="1" applyFill="1" applyBorder="1" applyAlignment="1" applyProtection="1">
      <alignment horizontal="centerContinuous" vertical="center"/>
    </xf>
    <xf numFmtId="0" fontId="22" fillId="6" borderId="6" xfId="0" applyFont="1" applyFill="1" applyBorder="1" applyProtection="1"/>
    <xf numFmtId="0" fontId="22" fillId="6" borderId="25" xfId="0" applyFont="1" applyFill="1" applyBorder="1" applyProtection="1"/>
    <xf numFmtId="0" fontId="22" fillId="6" borderId="18" xfId="0" applyFont="1" applyFill="1" applyBorder="1" applyProtection="1"/>
    <xf numFmtId="0" fontId="22" fillId="6" borderId="18" xfId="0" applyFont="1" applyFill="1" applyBorder="1" applyAlignment="1" applyProtection="1">
      <alignment horizontal="center"/>
    </xf>
    <xf numFmtId="3" fontId="22" fillId="6" borderId="18" xfId="0" applyNumberFormat="1" applyFont="1" applyFill="1" applyBorder="1" applyAlignment="1" applyProtection="1">
      <alignment horizontal="center"/>
    </xf>
    <xf numFmtId="1" fontId="22" fillId="6" borderId="18" xfId="0" applyNumberFormat="1" applyFont="1" applyFill="1" applyBorder="1" applyAlignment="1" applyProtection="1">
      <alignment horizontal="center"/>
    </xf>
    <xf numFmtId="3" fontId="22" fillId="6" borderId="25" xfId="0" applyNumberFormat="1" applyFont="1" applyFill="1" applyBorder="1" applyAlignment="1" applyProtection="1">
      <alignment horizontal="centerContinuous"/>
    </xf>
    <xf numFmtId="3" fontId="22" fillId="6" borderId="20" xfId="0" applyNumberFormat="1" applyFont="1" applyFill="1" applyBorder="1" applyAlignment="1" applyProtection="1">
      <alignment horizontal="centerContinuous"/>
    </xf>
    <xf numFmtId="0" fontId="9" fillId="4" borderId="22" xfId="0" applyFont="1" applyFill="1" applyBorder="1" applyAlignment="1" applyProtection="1">
      <alignment horizontal="center" vertical="center"/>
    </xf>
    <xf numFmtId="9" fontId="9" fillId="4" borderId="22" xfId="2" applyFont="1" applyFill="1" applyBorder="1" applyAlignment="1" applyProtection="1">
      <alignment horizontal="center" vertical="center"/>
    </xf>
    <xf numFmtId="0" fontId="23" fillId="4" borderId="7" xfId="0" applyFont="1" applyFill="1" applyBorder="1" applyProtection="1"/>
    <xf numFmtId="0" fontId="23" fillId="4" borderId="0" xfId="0" applyFont="1" applyFill="1" applyBorder="1" applyProtection="1"/>
    <xf numFmtId="0" fontId="23" fillId="4" borderId="6" xfId="0" applyFont="1" applyFill="1" applyBorder="1" applyProtection="1"/>
    <xf numFmtId="0" fontId="23" fillId="4" borderId="25" xfId="0" applyFont="1" applyFill="1" applyBorder="1" applyProtection="1"/>
    <xf numFmtId="0" fontId="9" fillId="4" borderId="22" xfId="0" applyFont="1" applyFill="1" applyBorder="1" applyAlignment="1" applyProtection="1"/>
    <xf numFmtId="0" fontId="23" fillId="4" borderId="22" xfId="0" applyFont="1" applyFill="1" applyBorder="1" applyProtection="1"/>
    <xf numFmtId="0" fontId="23" fillId="4" borderId="22" xfId="0" applyFont="1" applyFill="1" applyBorder="1" applyAlignment="1" applyProtection="1">
      <alignment horizontal="center"/>
    </xf>
    <xf numFmtId="0" fontId="23" fillId="4" borderId="18" xfId="0" applyFont="1" applyFill="1" applyBorder="1" applyProtection="1"/>
    <xf numFmtId="0" fontId="23" fillId="4" borderId="18" xfId="0" applyFont="1" applyFill="1" applyBorder="1" applyAlignment="1" applyProtection="1">
      <alignment horizontal="center"/>
    </xf>
    <xf numFmtId="0" fontId="23" fillId="6" borderId="0" xfId="0" applyFont="1" applyFill="1" applyBorder="1" applyProtection="1"/>
    <xf numFmtId="0" fontId="23" fillId="6" borderId="22" xfId="0" applyFont="1" applyFill="1" applyBorder="1" applyAlignment="1" applyProtection="1">
      <alignment horizontal="center"/>
    </xf>
    <xf numFmtId="3" fontId="23" fillId="6" borderId="2" xfId="0" applyNumberFormat="1" applyFont="1" applyFill="1" applyBorder="1" applyAlignment="1" applyProtection="1">
      <alignment horizontal="center"/>
    </xf>
    <xf numFmtId="0" fontId="10" fillId="6" borderId="11" xfId="0" applyFont="1" applyFill="1" applyBorder="1" applyAlignment="1" applyProtection="1">
      <alignment horizontal="left"/>
    </xf>
    <xf numFmtId="0" fontId="2" fillId="6" borderId="7" xfId="0" applyFont="1" applyFill="1" applyBorder="1" applyProtection="1"/>
    <xf numFmtId="0" fontId="2" fillId="6" borderId="0" xfId="0" applyFont="1" applyFill="1" applyBorder="1" applyProtection="1"/>
    <xf numFmtId="0" fontId="2" fillId="6" borderId="22" xfId="0" applyFont="1" applyFill="1" applyBorder="1" applyProtection="1"/>
    <xf numFmtId="0" fontId="2" fillId="6" borderId="22" xfId="0" applyFont="1" applyFill="1" applyBorder="1" applyAlignment="1" applyProtection="1">
      <alignment horizontal="center"/>
    </xf>
    <xf numFmtId="167" fontId="2" fillId="6" borderId="22" xfId="0" applyNumberFormat="1" applyFont="1" applyFill="1" applyBorder="1" applyAlignment="1" applyProtection="1">
      <alignment horizontal="center"/>
    </xf>
    <xf numFmtId="167" fontId="2" fillId="6" borderId="0" xfId="0" applyNumberFormat="1" applyFont="1" applyFill="1" applyBorder="1" applyAlignment="1" applyProtection="1">
      <alignment horizontal="centerContinuous"/>
    </xf>
    <xf numFmtId="167" fontId="2" fillId="6" borderId="4" xfId="0" applyNumberFormat="1" applyFont="1" applyFill="1" applyBorder="1" applyAlignment="1" applyProtection="1">
      <alignment horizontal="centerContinuous"/>
    </xf>
    <xf numFmtId="1" fontId="2" fillId="6" borderId="22" xfId="0" applyNumberFormat="1" applyFont="1" applyFill="1" applyBorder="1" applyAlignment="1" applyProtection="1">
      <alignment horizontal="center"/>
    </xf>
    <xf numFmtId="3" fontId="2" fillId="6" borderId="0" xfId="0" applyNumberFormat="1" applyFont="1" applyFill="1" applyBorder="1" applyAlignment="1" applyProtection="1">
      <alignment horizontal="centerContinuous"/>
    </xf>
    <xf numFmtId="3" fontId="2" fillId="6" borderId="4" xfId="0" applyNumberFormat="1" applyFont="1" applyFill="1" applyBorder="1" applyAlignment="1" applyProtection="1">
      <alignment horizontal="centerContinuous" vertical="center"/>
    </xf>
    <xf numFmtId="3" fontId="2" fillId="6" borderId="22" xfId="0" applyNumberFormat="1" applyFont="1" applyFill="1" applyBorder="1" applyAlignment="1" applyProtection="1">
      <alignment horizontal="center"/>
    </xf>
    <xf numFmtId="1" fontId="2" fillId="6" borderId="0" xfId="0" applyNumberFormat="1" applyFont="1" applyFill="1" applyBorder="1" applyAlignment="1" applyProtection="1">
      <alignment horizontal="centerContinuous"/>
    </xf>
    <xf numFmtId="1" fontId="2" fillId="6" borderId="4" xfId="0" applyNumberFormat="1" applyFont="1" applyFill="1" applyBorder="1" applyAlignment="1" applyProtection="1">
      <alignment horizontal="centerContinuous" vertical="center"/>
    </xf>
    <xf numFmtId="1" fontId="2" fillId="6" borderId="4" xfId="0" applyNumberFormat="1" applyFont="1" applyFill="1" applyBorder="1" applyAlignment="1" applyProtection="1">
      <alignment horizontal="centerContinuous"/>
    </xf>
    <xf numFmtId="0" fontId="29" fillId="6" borderId="6" xfId="0" applyFont="1" applyFill="1" applyBorder="1" applyProtection="1"/>
    <xf numFmtId="0" fontId="29" fillId="6" borderId="25" xfId="0" applyFont="1" applyFill="1" applyBorder="1" applyProtection="1"/>
    <xf numFmtId="0" fontId="29" fillId="6" borderId="18" xfId="0" applyFont="1" applyFill="1" applyBorder="1" applyProtection="1"/>
    <xf numFmtId="0" fontId="29" fillId="6" borderId="18" xfId="0" applyFont="1" applyFill="1" applyBorder="1" applyAlignment="1" applyProtection="1">
      <alignment horizontal="center"/>
    </xf>
    <xf numFmtId="3" fontId="29" fillId="6" borderId="18" xfId="0" applyNumberFormat="1" applyFont="1" applyFill="1" applyBorder="1" applyAlignment="1" applyProtection="1">
      <alignment horizontal="center"/>
    </xf>
    <xf numFmtId="3" fontId="29" fillId="6" borderId="18" xfId="0" applyNumberFormat="1" applyFont="1" applyFill="1" applyBorder="1" applyAlignment="1" applyProtection="1">
      <alignment horizontal="centerContinuous"/>
    </xf>
    <xf numFmtId="3" fontId="29" fillId="6" borderId="20" xfId="0" applyNumberFormat="1" applyFont="1" applyFill="1" applyBorder="1" applyAlignment="1" applyProtection="1">
      <alignment horizontal="centerContinuous"/>
    </xf>
    <xf numFmtId="1" fontId="2" fillId="6" borderId="22" xfId="0" applyNumberFormat="1" applyFont="1" applyFill="1" applyBorder="1" applyAlignment="1" applyProtection="1">
      <alignment horizontal="center" vertical="center"/>
    </xf>
    <xf numFmtId="1" fontId="2" fillId="6" borderId="0" xfId="0" applyNumberFormat="1" applyFont="1" applyFill="1" applyBorder="1" applyAlignment="1" applyProtection="1">
      <alignment horizontal="centerContinuous" vertical="center"/>
    </xf>
    <xf numFmtId="0" fontId="2" fillId="6" borderId="4" xfId="0" applyFont="1" applyFill="1" applyBorder="1" applyAlignment="1" applyProtection="1">
      <alignment horizontal="centerContinuous" vertical="center"/>
    </xf>
    <xf numFmtId="0" fontId="29" fillId="6" borderId="7" xfId="0" applyFont="1" applyFill="1" applyBorder="1" applyProtection="1"/>
    <xf numFmtId="0" fontId="29" fillId="6" borderId="0" xfId="0" applyFont="1" applyFill="1" applyBorder="1" applyProtection="1"/>
    <xf numFmtId="0" fontId="29" fillId="6" borderId="22" xfId="0" applyFont="1" applyFill="1" applyBorder="1" applyAlignment="1" applyProtection="1">
      <alignment horizontal="center"/>
    </xf>
    <xf numFmtId="3" fontId="29" fillId="6" borderId="22" xfId="0" applyNumberFormat="1" applyFont="1" applyFill="1" applyBorder="1" applyAlignment="1" applyProtection="1">
      <alignment horizontal="center" vertical="center"/>
    </xf>
    <xf numFmtId="0" fontId="2" fillId="6" borderId="6" xfId="0" applyFont="1" applyFill="1" applyBorder="1" applyProtection="1"/>
    <xf numFmtId="0" fontId="2" fillId="6" borderId="25" xfId="0" applyFont="1" applyFill="1" applyBorder="1" applyProtection="1"/>
    <xf numFmtId="0" fontId="2" fillId="6" borderId="18" xfId="0" applyFont="1" applyFill="1" applyBorder="1" applyProtection="1"/>
    <xf numFmtId="0" fontId="2" fillId="6" borderId="18" xfId="0" applyFont="1" applyFill="1" applyBorder="1" applyAlignment="1" applyProtection="1">
      <alignment horizontal="center"/>
    </xf>
    <xf numFmtId="3" fontId="2" fillId="6" borderId="18" xfId="0" applyNumberFormat="1" applyFont="1" applyFill="1" applyBorder="1" applyAlignment="1" applyProtection="1">
      <alignment horizontal="center"/>
    </xf>
    <xf numFmtId="3" fontId="2" fillId="6" borderId="25" xfId="0" applyNumberFormat="1" applyFont="1" applyFill="1" applyBorder="1" applyAlignment="1" applyProtection="1">
      <alignment horizontal="centerContinuous"/>
    </xf>
    <xf numFmtId="3" fontId="2" fillId="6" borderId="20" xfId="0" applyNumberFormat="1" applyFont="1" applyFill="1" applyBorder="1" applyAlignment="1" applyProtection="1">
      <alignment horizontal="centerContinuous"/>
    </xf>
    <xf numFmtId="0" fontId="22" fillId="6" borderId="38" xfId="0" applyFont="1" applyFill="1" applyBorder="1" applyProtection="1"/>
    <xf numFmtId="0" fontId="22" fillId="6" borderId="15" xfId="0" applyFont="1" applyFill="1" applyBorder="1" applyAlignment="1" applyProtection="1">
      <alignment horizontal="center"/>
    </xf>
    <xf numFmtId="3" fontId="22" fillId="6" borderId="15" xfId="0" applyNumberFormat="1" applyFont="1" applyFill="1" applyBorder="1" applyAlignment="1" applyProtection="1">
      <alignment horizontal="center"/>
    </xf>
    <xf numFmtId="3" fontId="22" fillId="6" borderId="39" xfId="0" applyNumberFormat="1" applyFont="1" applyFill="1" applyBorder="1" applyAlignment="1" applyProtection="1">
      <alignment horizontal="centerContinuous"/>
    </xf>
    <xf numFmtId="3" fontId="22" fillId="6" borderId="40" xfId="0" applyNumberFormat="1" applyFont="1" applyFill="1" applyBorder="1" applyAlignment="1" applyProtection="1">
      <alignment horizontal="centerContinuous"/>
    </xf>
    <xf numFmtId="167" fontId="10" fillId="7" borderId="12" xfId="0" applyNumberFormat="1" applyFont="1" applyFill="1" applyBorder="1" applyAlignment="1" applyProtection="1">
      <alignment horizontal="center"/>
      <protection locked="0"/>
    </xf>
    <xf numFmtId="0" fontId="20" fillId="6" borderId="7" xfId="0" applyFont="1" applyFill="1" applyBorder="1" applyProtection="1"/>
    <xf numFmtId="0" fontId="20" fillId="6" borderId="0" xfId="0" applyFont="1" applyFill="1" applyBorder="1" applyProtection="1"/>
    <xf numFmtId="0" fontId="20" fillId="6" borderId="7" xfId="0" applyFont="1" applyFill="1" applyBorder="1"/>
    <xf numFmtId="0" fontId="20" fillId="6" borderId="0" xfId="0" applyFont="1" applyFill="1" applyBorder="1"/>
    <xf numFmtId="0" fontId="20" fillId="6" borderId="6" xfId="0" applyFont="1" applyFill="1" applyBorder="1" applyProtection="1"/>
    <xf numFmtId="0" fontId="20" fillId="6" borderId="25" xfId="0" applyFont="1" applyFill="1" applyBorder="1" applyProtection="1"/>
    <xf numFmtId="0" fontId="20" fillId="6" borderId="21" xfId="0" applyFont="1" applyFill="1" applyBorder="1" applyProtection="1"/>
    <xf numFmtId="0" fontId="20" fillId="6" borderId="41" xfId="0" applyFont="1" applyFill="1" applyBorder="1" applyProtection="1"/>
    <xf numFmtId="0" fontId="20" fillId="6" borderId="18" xfId="0" applyFont="1" applyFill="1" applyBorder="1" applyProtection="1"/>
    <xf numFmtId="0" fontId="20" fillId="6" borderId="22" xfId="0" applyFont="1" applyFill="1" applyBorder="1" applyProtection="1"/>
    <xf numFmtId="0" fontId="24" fillId="6" borderId="7"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22" xfId="0" applyFont="1" applyFill="1" applyBorder="1" applyAlignment="1" applyProtection="1">
      <alignment vertical="center"/>
    </xf>
    <xf numFmtId="0" fontId="37" fillId="6" borderId="6" xfId="0" applyFont="1" applyFill="1" applyBorder="1" applyAlignment="1" applyProtection="1">
      <alignment vertical="center"/>
    </xf>
    <xf numFmtId="0" fontId="37" fillId="6" borderId="25" xfId="0" applyFont="1" applyFill="1" applyBorder="1" applyAlignment="1" applyProtection="1">
      <alignment vertical="center"/>
    </xf>
    <xf numFmtId="0" fontId="37" fillId="6" borderId="18" xfId="0" applyFont="1" applyFill="1" applyBorder="1" applyAlignment="1" applyProtection="1">
      <alignment horizontal="right" vertical="center"/>
    </xf>
    <xf numFmtId="1" fontId="24" fillId="6" borderId="7" xfId="0" applyNumberFormat="1" applyFont="1" applyFill="1" applyBorder="1" applyAlignment="1" applyProtection="1">
      <alignment vertical="center"/>
    </xf>
    <xf numFmtId="1" fontId="24" fillId="6" borderId="0" xfId="0" applyNumberFormat="1" applyFont="1" applyFill="1" applyBorder="1" applyAlignment="1" applyProtection="1">
      <alignment vertical="center"/>
    </xf>
    <xf numFmtId="1" fontId="24" fillId="6" borderId="22" xfId="0" applyNumberFormat="1" applyFont="1" applyFill="1" applyBorder="1" applyAlignment="1" applyProtection="1">
      <alignment vertical="center"/>
    </xf>
    <xf numFmtId="0" fontId="24" fillId="6" borderId="6" xfId="0" applyFont="1" applyFill="1" applyBorder="1" applyAlignment="1" applyProtection="1">
      <alignment vertical="center"/>
    </xf>
    <xf numFmtId="0" fontId="24" fillId="6" borderId="25" xfId="0" applyFont="1" applyFill="1" applyBorder="1" applyAlignment="1" applyProtection="1">
      <alignment vertical="center"/>
    </xf>
    <xf numFmtId="0" fontId="24" fillId="6" borderId="18" xfId="0" applyFont="1" applyFill="1" applyBorder="1" applyAlignment="1" applyProtection="1">
      <alignment vertical="center"/>
    </xf>
    <xf numFmtId="0" fontId="22" fillId="6" borderId="22" xfId="0" applyFont="1" applyFill="1" applyBorder="1" applyAlignment="1" applyProtection="1">
      <alignment horizontal="center" vertical="center"/>
    </xf>
    <xf numFmtId="1" fontId="22" fillId="6" borderId="22" xfId="0" applyNumberFormat="1" applyFont="1" applyFill="1" applyBorder="1" applyAlignment="1" applyProtection="1">
      <alignment horizontal="center" vertical="center"/>
    </xf>
    <xf numFmtId="1" fontId="22" fillId="6" borderId="0" xfId="0" applyNumberFormat="1" applyFont="1" applyFill="1" applyBorder="1" applyAlignment="1" applyProtection="1">
      <alignment horizontal="centerContinuous" vertical="center"/>
    </xf>
    <xf numFmtId="1" fontId="22" fillId="6" borderId="4" xfId="0" applyNumberFormat="1" applyFont="1" applyFill="1" applyBorder="1" applyAlignment="1" applyProtection="1">
      <alignment horizontal="centerContinuous" vertical="center"/>
    </xf>
    <xf numFmtId="0" fontId="22" fillId="6" borderId="4" xfId="0" applyFont="1" applyFill="1" applyBorder="1" applyAlignment="1" applyProtection="1">
      <alignment horizontal="centerContinuous"/>
    </xf>
    <xf numFmtId="0" fontId="30" fillId="6" borderId="18" xfId="0" applyFont="1" applyFill="1" applyBorder="1" applyAlignment="1" applyProtection="1">
      <alignment horizontal="center" vertical="center"/>
    </xf>
    <xf numFmtId="1" fontId="30" fillId="6" borderId="18" xfId="0" applyNumberFormat="1" applyFont="1" applyFill="1" applyBorder="1" applyAlignment="1" applyProtection="1">
      <alignment horizontal="center" vertical="center"/>
    </xf>
    <xf numFmtId="1" fontId="30" fillId="6" borderId="25" xfId="0" applyNumberFormat="1" applyFont="1" applyFill="1" applyBorder="1" applyAlignment="1" applyProtection="1">
      <alignment horizontal="centerContinuous" vertical="center"/>
    </xf>
    <xf numFmtId="0" fontId="30" fillId="6" borderId="20" xfId="0" applyFont="1" applyFill="1" applyBorder="1" applyAlignment="1" applyProtection="1">
      <alignment horizontal="centerContinuous" vertical="center"/>
    </xf>
    <xf numFmtId="1" fontId="22" fillId="6" borderId="0" xfId="0" applyNumberFormat="1" applyFont="1" applyFill="1" applyBorder="1" applyAlignment="1" applyProtection="1">
      <alignment horizontal="center" vertical="center"/>
    </xf>
    <xf numFmtId="167" fontId="22" fillId="6" borderId="4" xfId="0" applyNumberFormat="1" applyFont="1" applyFill="1" applyBorder="1" applyAlignment="1" applyProtection="1">
      <alignment horizontal="centerContinuous" vertical="center"/>
    </xf>
    <xf numFmtId="0" fontId="22" fillId="6" borderId="18" xfId="0" applyFont="1" applyFill="1" applyBorder="1" applyAlignment="1" applyProtection="1">
      <alignment horizontal="center" vertical="center"/>
    </xf>
    <xf numFmtId="1" fontId="22" fillId="6" borderId="25" xfId="0" applyNumberFormat="1" applyFont="1" applyFill="1" applyBorder="1" applyAlignment="1" applyProtection="1">
      <alignment horizontal="center" vertical="center"/>
    </xf>
    <xf numFmtId="0" fontId="22" fillId="6" borderId="20" xfId="0" applyFont="1" applyFill="1" applyBorder="1" applyAlignment="1" applyProtection="1">
      <alignment horizontal="centerContinuous" vertical="center"/>
    </xf>
    <xf numFmtId="0" fontId="10" fillId="7" borderId="29" xfId="0" applyFont="1" applyFill="1" applyBorder="1" applyAlignment="1" applyProtection="1">
      <alignment horizontal="center" vertical="center"/>
      <protection locked="0"/>
    </xf>
    <xf numFmtId="0" fontId="38" fillId="0" borderId="0" xfId="0" applyFont="1"/>
    <xf numFmtId="170" fontId="38" fillId="0" borderId="42" xfId="3" applyNumberFormat="1" applyFont="1" applyBorder="1" applyAlignment="1">
      <alignment horizontal="center"/>
    </xf>
    <xf numFmtId="170" fontId="39" fillId="0" borderId="42" xfId="3" applyNumberFormat="1" applyFont="1" applyBorder="1" applyAlignment="1">
      <alignment horizontal="center"/>
    </xf>
    <xf numFmtId="0" fontId="5" fillId="0" borderId="22" xfId="0" applyFont="1" applyBorder="1" applyAlignment="1">
      <alignment horizontal="center"/>
    </xf>
    <xf numFmtId="0" fontId="5" fillId="0" borderId="18" xfId="0" applyFont="1" applyBorder="1" applyAlignment="1">
      <alignment horizontal="center"/>
    </xf>
    <xf numFmtId="0" fontId="6" fillId="0" borderId="22" xfId="0" applyFont="1" applyBorder="1" applyAlignment="1">
      <alignment horizontal="center"/>
    </xf>
    <xf numFmtId="170" fontId="38" fillId="0" borderId="0" xfId="3" applyNumberFormat="1" applyFont="1" applyBorder="1" applyAlignment="1">
      <alignment horizontal="center"/>
    </xf>
    <xf numFmtId="0" fontId="23" fillId="0" borderId="0" xfId="0" applyFont="1" applyAlignment="1" applyProtection="1">
      <alignment vertical="center"/>
    </xf>
    <xf numFmtId="0" fontId="31" fillId="0" borderId="0" xfId="0" applyFont="1" applyAlignment="1" applyProtection="1">
      <alignment vertical="center"/>
    </xf>
    <xf numFmtId="1" fontId="2" fillId="0" borderId="0" xfId="0" applyNumberFormat="1" applyFont="1" applyAlignment="1" applyProtection="1">
      <alignment vertical="center"/>
    </xf>
    <xf numFmtId="4" fontId="2" fillId="0" borderId="0" xfId="0" applyNumberFormat="1" applyFont="1" applyAlignment="1" applyProtection="1">
      <alignment vertical="center"/>
    </xf>
    <xf numFmtId="2" fontId="2" fillId="0" borderId="0" xfId="0" applyNumberFormat="1" applyFont="1" applyAlignment="1" applyProtection="1">
      <alignment vertical="center"/>
    </xf>
    <xf numFmtId="0" fontId="23" fillId="6" borderId="1" xfId="0" applyFont="1" applyFill="1" applyBorder="1" applyAlignment="1" applyProtection="1">
      <alignment horizontal="center"/>
    </xf>
    <xf numFmtId="0" fontId="2" fillId="0" borderId="0" xfId="0" applyFont="1" applyAlignment="1" applyProtection="1">
      <alignment horizontal="right" vertical="center"/>
    </xf>
    <xf numFmtId="3" fontId="0" fillId="0" borderId="0" xfId="0" applyNumberFormat="1" applyAlignment="1" applyProtection="1">
      <alignment vertical="center"/>
    </xf>
    <xf numFmtId="167" fontId="29" fillId="0" borderId="0" xfId="0" applyNumberFormat="1" applyFont="1" applyAlignment="1" applyProtection="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xf>
    <xf numFmtId="2" fontId="2" fillId="0" borderId="0" xfId="0" applyNumberFormat="1" applyFont="1" applyFill="1" applyBorder="1" applyAlignment="1" applyProtection="1">
      <alignment horizontal="right" vertical="center"/>
    </xf>
    <xf numFmtId="2" fontId="2" fillId="0" borderId="0" xfId="0" applyNumberFormat="1" applyFont="1" applyFill="1" applyBorder="1" applyAlignment="1">
      <alignment horizontal="right" vertical="center"/>
    </xf>
    <xf numFmtId="2" fontId="29" fillId="0" borderId="0" xfId="0" applyNumberFormat="1" applyFont="1" applyBorder="1" applyAlignment="1" applyProtection="1">
      <alignment horizontal="right" vertical="center"/>
    </xf>
    <xf numFmtId="1" fontId="2" fillId="0" borderId="0" xfId="0" applyNumberFormat="1" applyFont="1"/>
    <xf numFmtId="0" fontId="2" fillId="0" borderId="0" xfId="0" applyFont="1" applyAlignment="1">
      <alignment horizontal="center" vertical="center"/>
    </xf>
    <xf numFmtId="1" fontId="2" fillId="0" borderId="0" xfId="0" applyNumberFormat="1" applyFont="1" applyAlignment="1">
      <alignment horizontal="right" vertical="center"/>
    </xf>
    <xf numFmtId="2" fontId="2" fillId="0" borderId="0" xfId="0" applyNumberFormat="1" applyFont="1" applyAlignment="1">
      <alignment horizontal="right" vertical="center"/>
    </xf>
    <xf numFmtId="0" fontId="2" fillId="0" borderId="0" xfId="0" applyFont="1" applyAlignment="1">
      <alignment horizontal="right"/>
    </xf>
    <xf numFmtId="2" fontId="2" fillId="0" borderId="0" xfId="0" applyNumberFormat="1" applyFont="1"/>
    <xf numFmtId="3" fontId="2" fillId="0" borderId="0" xfId="0" applyNumberFormat="1" applyFont="1"/>
    <xf numFmtId="169" fontId="2" fillId="0" borderId="0" xfId="2" applyNumberFormat="1" applyFont="1" applyFill="1" applyBorder="1" applyAlignment="1">
      <alignment horizontal="right" vertical="center"/>
    </xf>
    <xf numFmtId="0" fontId="29" fillId="0" borderId="0" xfId="0" applyFont="1" applyProtection="1"/>
    <xf numFmtId="1" fontId="29" fillId="0" borderId="0" xfId="0" applyNumberFormat="1" applyFont="1" applyAlignment="1">
      <alignment horizontal="right"/>
    </xf>
    <xf numFmtId="2" fontId="29" fillId="0" borderId="0" xfId="0" applyNumberFormat="1" applyFont="1"/>
    <xf numFmtId="0" fontId="29" fillId="0" borderId="0" xfId="0" applyFont="1" applyAlignment="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lignment horizontal="center" vertical="center"/>
    </xf>
    <xf numFmtId="2" fontId="29" fillId="0" borderId="0" xfId="0" applyNumberFormat="1" applyFont="1" applyFill="1" applyBorder="1" applyAlignment="1">
      <alignment horizontal="right" vertical="center"/>
    </xf>
    <xf numFmtId="9" fontId="29" fillId="0" borderId="0" xfId="2" applyFont="1" applyFill="1" applyBorder="1" applyAlignment="1">
      <alignment horizontal="right" vertical="center"/>
    </xf>
    <xf numFmtId="2" fontId="2" fillId="0" borderId="0" xfId="0" applyNumberFormat="1" applyFont="1" applyAlignment="1">
      <alignment vertical="center"/>
    </xf>
    <xf numFmtId="0" fontId="29" fillId="0" borderId="0" xfId="0" applyFont="1" applyAlignment="1">
      <alignment horizontal="right" vertical="center"/>
    </xf>
    <xf numFmtId="9" fontId="2" fillId="0" borderId="0" xfId="2" applyNumberFormat="1" applyFont="1" applyAlignment="1">
      <alignment vertical="center"/>
    </xf>
    <xf numFmtId="0" fontId="9" fillId="3" borderId="22" xfId="0" applyFont="1" applyFill="1" applyBorder="1" applyAlignment="1" applyProtection="1">
      <alignment horizontal="left"/>
    </xf>
    <xf numFmtId="3" fontId="23" fillId="6" borderId="22" xfId="0" applyNumberFormat="1" applyFont="1" applyFill="1" applyBorder="1" applyAlignment="1" applyProtection="1">
      <alignment horizontal="center"/>
    </xf>
    <xf numFmtId="3" fontId="23" fillId="6" borderId="28" xfId="0" applyNumberFormat="1" applyFont="1" applyFill="1" applyBorder="1" applyAlignment="1" applyProtection="1">
      <alignment horizontal="center"/>
    </xf>
    <xf numFmtId="3" fontId="23" fillId="6" borderId="4" xfId="0" applyNumberFormat="1" applyFont="1" applyFill="1" applyBorder="1" applyAlignment="1" applyProtection="1">
      <alignment horizontal="center"/>
    </xf>
    <xf numFmtId="3" fontId="2" fillId="6" borderId="4" xfId="0" applyNumberFormat="1" applyFont="1" applyFill="1" applyBorder="1" applyAlignment="1" applyProtection="1">
      <alignment horizontal="centerContinuous"/>
    </xf>
    <xf numFmtId="0" fontId="22" fillId="3" borderId="18" xfId="0" applyFont="1" applyFill="1" applyBorder="1" applyAlignment="1" applyProtection="1">
      <alignment horizontal="center"/>
    </xf>
    <xf numFmtId="9" fontId="22" fillId="3" borderId="18" xfId="2" applyFont="1" applyFill="1" applyBorder="1" applyAlignment="1" applyProtection="1">
      <alignment horizontal="center"/>
    </xf>
    <xf numFmtId="0" fontId="23" fillId="4" borderId="30" xfId="0" applyFont="1" applyFill="1" applyBorder="1" applyAlignment="1" applyProtection="1">
      <alignment vertical="center"/>
    </xf>
    <xf numFmtId="0" fontId="23" fillId="4" borderId="37" xfId="0" applyFont="1" applyFill="1" applyBorder="1" applyAlignment="1" applyProtection="1">
      <alignment vertical="center"/>
    </xf>
    <xf numFmtId="0" fontId="23" fillId="4" borderId="31" xfId="0" applyFont="1" applyFill="1" applyBorder="1" applyAlignment="1" applyProtection="1">
      <alignment horizontal="center" vertical="center"/>
    </xf>
    <xf numFmtId="1" fontId="23" fillId="4" borderId="32" xfId="0" applyNumberFormat="1" applyFont="1" applyFill="1" applyBorder="1" applyAlignment="1" applyProtection="1">
      <alignment horizontal="centerContinuous" vertical="center"/>
    </xf>
    <xf numFmtId="0" fontId="42" fillId="0" borderId="0" xfId="0" applyFont="1" applyAlignment="1" applyProtection="1">
      <alignment vertical="center"/>
    </xf>
    <xf numFmtId="172" fontId="42" fillId="0" borderId="0" xfId="0" applyNumberFormat="1" applyFont="1" applyAlignment="1" applyProtection="1">
      <alignment vertical="center"/>
    </xf>
    <xf numFmtId="172" fontId="42" fillId="7" borderId="0" xfId="0" applyNumberFormat="1" applyFont="1" applyFill="1" applyAlignment="1" applyProtection="1">
      <alignment vertical="center"/>
    </xf>
    <xf numFmtId="4" fontId="0" fillId="0" borderId="0" xfId="0" applyNumberFormat="1" applyAlignment="1" applyProtection="1">
      <alignment vertical="center"/>
    </xf>
    <xf numFmtId="169" fontId="0" fillId="0" borderId="0" xfId="0" applyNumberFormat="1" applyAlignment="1" applyProtection="1">
      <alignment vertical="center"/>
    </xf>
    <xf numFmtId="0" fontId="2" fillId="0" borderId="25" xfId="0" applyFont="1" applyBorder="1" applyProtection="1"/>
    <xf numFmtId="0" fontId="2" fillId="0" borderId="25" xfId="0" applyFont="1" applyBorder="1"/>
    <xf numFmtId="0" fontId="2" fillId="0" borderId="25" xfId="0" applyFont="1" applyBorder="1" applyAlignment="1">
      <alignment horizontal="right"/>
    </xf>
    <xf numFmtId="0" fontId="23" fillId="6" borderId="25" xfId="0" applyFont="1" applyFill="1" applyBorder="1" applyProtection="1"/>
    <xf numFmtId="0" fontId="23" fillId="6" borderId="19" xfId="0" applyFont="1" applyFill="1" applyBorder="1" applyAlignment="1" applyProtection="1">
      <alignment horizontal="center"/>
    </xf>
    <xf numFmtId="169" fontId="23" fillId="4" borderId="22" xfId="2" applyNumberFormat="1" applyFont="1" applyFill="1" applyBorder="1" applyAlignment="1" applyProtection="1">
      <alignment horizontal="center"/>
    </xf>
    <xf numFmtId="0" fontId="34" fillId="0" borderId="0" xfId="0" applyFont="1" applyAlignment="1" applyProtection="1">
      <alignment vertical="center"/>
    </xf>
    <xf numFmtId="0" fontId="44" fillId="0" borderId="0" xfId="0" applyFont="1" applyAlignment="1" applyProtection="1">
      <alignment vertical="center"/>
    </xf>
    <xf numFmtId="0" fontId="43" fillId="0" borderId="0" xfId="0" applyFont="1" applyAlignment="1" applyProtection="1">
      <alignment horizontal="right" vertical="center"/>
    </xf>
    <xf numFmtId="0" fontId="0" fillId="6" borderId="0" xfId="0" applyFill="1" applyProtection="1"/>
    <xf numFmtId="0" fontId="2" fillId="6" borderId="0" xfId="0" applyFont="1" applyFill="1" applyProtection="1"/>
    <xf numFmtId="0" fontId="31" fillId="6" borderId="11" xfId="0" applyFont="1" applyFill="1" applyBorder="1" applyAlignment="1" applyProtection="1"/>
    <xf numFmtId="0" fontId="31" fillId="6" borderId="9" xfId="0" applyFont="1" applyFill="1" applyBorder="1" applyAlignment="1" applyProtection="1"/>
    <xf numFmtId="0" fontId="31" fillId="6" borderId="11" xfId="0" applyFont="1" applyFill="1" applyBorder="1" applyProtection="1"/>
    <xf numFmtId="0" fontId="31" fillId="6" borderId="9" xfId="0" applyFont="1" applyFill="1" applyBorder="1"/>
    <xf numFmtId="0" fontId="31" fillId="6" borderId="3" xfId="0" applyFont="1" applyFill="1" applyBorder="1" applyProtection="1"/>
    <xf numFmtId="0" fontId="31" fillId="6" borderId="8" xfId="0" applyFont="1" applyFill="1" applyBorder="1" applyAlignment="1" applyProtection="1"/>
    <xf numFmtId="0" fontId="31" fillId="6" borderId="21" xfId="0" applyFont="1" applyFill="1" applyBorder="1" applyAlignment="1" applyProtection="1"/>
    <xf numFmtId="0" fontId="31" fillId="6" borderId="5" xfId="0" applyFont="1" applyFill="1" applyBorder="1" applyProtection="1"/>
    <xf numFmtId="0" fontId="31" fillId="6" borderId="8" xfId="0" applyFont="1" applyFill="1" applyBorder="1" applyProtection="1"/>
    <xf numFmtId="0" fontId="31" fillId="6" borderId="12" xfId="0" applyFont="1" applyFill="1" applyBorder="1" applyProtection="1"/>
    <xf numFmtId="0" fontId="2" fillId="6" borderId="7" xfId="0" applyFont="1" applyFill="1" applyBorder="1" applyAlignment="1">
      <alignment vertical="center"/>
    </xf>
    <xf numFmtId="0" fontId="0" fillId="6" borderId="0" xfId="0" applyFill="1" applyBorder="1" applyAlignment="1">
      <alignment vertical="center"/>
    </xf>
    <xf numFmtId="3" fontId="31" fillId="0" borderId="0" xfId="0" applyNumberFormat="1" applyFont="1" applyAlignment="1" applyProtection="1">
      <alignment vertical="center"/>
    </xf>
    <xf numFmtId="0" fontId="31" fillId="0" borderId="0" xfId="0" applyFont="1" applyAlignment="1">
      <alignment vertical="center"/>
    </xf>
    <xf numFmtId="9" fontId="31" fillId="0" borderId="0" xfId="2" applyFont="1" applyAlignment="1" applyProtection="1">
      <alignment vertical="center"/>
    </xf>
    <xf numFmtId="0" fontId="31" fillId="6" borderId="7" xfId="0" applyFont="1" applyFill="1" applyBorder="1" applyAlignment="1" applyProtection="1"/>
    <xf numFmtId="0" fontId="31" fillId="6" borderId="0" xfId="0" applyFont="1" applyFill="1" applyBorder="1" applyAlignment="1" applyProtection="1"/>
    <xf numFmtId="0" fontId="31" fillId="6" borderId="7" xfId="0" applyFont="1" applyFill="1" applyBorder="1" applyProtection="1"/>
    <xf numFmtId="0" fontId="31" fillId="6" borderId="0" xfId="0" applyFont="1" applyFill="1" applyBorder="1"/>
    <xf numFmtId="0" fontId="31" fillId="6" borderId="4" xfId="0" applyFont="1" applyFill="1" applyBorder="1" applyProtection="1"/>
    <xf numFmtId="167" fontId="31" fillId="2" borderId="1" xfId="0" applyNumberFormat="1" applyFont="1" applyFill="1" applyBorder="1" applyAlignment="1" applyProtection="1">
      <alignment horizontal="center"/>
      <protection locked="0"/>
    </xf>
    <xf numFmtId="0" fontId="2" fillId="0" borderId="0" xfId="0" applyFont="1" applyAlignment="1">
      <alignment horizontal="right" vertical="center"/>
    </xf>
    <xf numFmtId="0" fontId="29" fillId="6" borderId="0" xfId="0" applyFont="1" applyFill="1" applyAlignment="1" applyProtection="1">
      <alignment horizontal="right"/>
    </xf>
    <xf numFmtId="0" fontId="2" fillId="0" borderId="13" xfId="0" applyFont="1" applyFill="1" applyBorder="1" applyAlignment="1">
      <alignment horizontal="center"/>
    </xf>
    <xf numFmtId="0" fontId="5" fillId="0" borderId="0" xfId="0" applyFont="1" applyAlignment="1">
      <alignment horizontal="right" vertical="center"/>
    </xf>
    <xf numFmtId="0" fontId="14" fillId="0" borderId="44" xfId="0" applyFont="1" applyBorder="1"/>
    <xf numFmtId="0" fontId="14" fillId="0" borderId="10" xfId="0" applyFont="1" applyBorder="1"/>
    <xf numFmtId="0" fontId="3" fillId="0" borderId="7" xfId="0" applyFont="1" applyBorder="1"/>
    <xf numFmtId="0" fontId="3" fillId="0" borderId="0" xfId="0" applyFont="1" applyBorder="1"/>
    <xf numFmtId="0" fontId="47" fillId="0" borderId="0" xfId="0" applyFont="1"/>
    <xf numFmtId="49" fontId="32" fillId="6" borderId="9" xfId="0" applyNumberFormat="1" applyFont="1" applyFill="1" applyBorder="1" applyProtection="1"/>
    <xf numFmtId="0" fontId="32" fillId="6" borderId="7" xfId="0" applyFont="1" applyFill="1" applyBorder="1"/>
    <xf numFmtId="14" fontId="30" fillId="0" borderId="0" xfId="0" applyNumberFormat="1" applyFont="1" applyFill="1" applyBorder="1" applyAlignment="1" applyProtection="1">
      <alignment horizontal="center" vertical="center"/>
    </xf>
    <xf numFmtId="0" fontId="31" fillId="0" borderId="11" xfId="0" applyFont="1" applyBorder="1" applyProtection="1"/>
    <xf numFmtId="0" fontId="24" fillId="0" borderId="11" xfId="0" applyFont="1" applyBorder="1" applyAlignment="1" applyProtection="1"/>
    <xf numFmtId="0" fontId="24" fillId="0" borderId="9" xfId="0" applyFont="1" applyBorder="1" applyAlignment="1" applyProtection="1"/>
    <xf numFmtId="0" fontId="24" fillId="0" borderId="10" xfId="0" applyFont="1" applyBorder="1" applyProtection="1"/>
    <xf numFmtId="0" fontId="31" fillId="0" borderId="9" xfId="0" applyFont="1" applyBorder="1"/>
    <xf numFmtId="2" fontId="24" fillId="0" borderId="16" xfId="0" applyNumberFormat="1" applyFont="1" applyFill="1" applyBorder="1" applyAlignment="1" applyProtection="1">
      <alignment horizontal="center"/>
    </xf>
    <xf numFmtId="0" fontId="31" fillId="0" borderId="3" xfId="0" applyFont="1" applyBorder="1" applyProtection="1"/>
    <xf numFmtId="166" fontId="31" fillId="0" borderId="31" xfId="0" applyNumberFormat="1" applyFont="1" applyFill="1" applyBorder="1" applyAlignment="1" applyProtection="1">
      <alignment horizontal="center"/>
    </xf>
    <xf numFmtId="0" fontId="24" fillId="0" borderId="8" xfId="0" applyFont="1" applyBorder="1" applyAlignment="1" applyProtection="1"/>
    <xf numFmtId="0" fontId="24" fillId="0" borderId="21" xfId="0" applyFont="1" applyBorder="1" applyAlignment="1" applyProtection="1"/>
    <xf numFmtId="0" fontId="24" fillId="0" borderId="5" xfId="0" applyFont="1" applyBorder="1" applyProtection="1"/>
    <xf numFmtId="0" fontId="24" fillId="0" borderId="8" xfId="0" applyFont="1" applyBorder="1" applyAlignment="1" applyProtection="1">
      <alignment horizontal="left"/>
    </xf>
    <xf numFmtId="0" fontId="24" fillId="0" borderId="12" xfId="0" applyFont="1" applyBorder="1" applyAlignment="1" applyProtection="1">
      <alignment horizontal="center"/>
    </xf>
    <xf numFmtId="2" fontId="24" fillId="0" borderId="17" xfId="0" applyNumberFormat="1" applyFont="1" applyFill="1" applyBorder="1" applyAlignment="1" applyProtection="1">
      <alignment horizontal="center"/>
    </xf>
    <xf numFmtId="0" fontId="24" fillId="0" borderId="5" xfId="0" applyFont="1" applyBorder="1" applyAlignment="1" applyProtection="1">
      <alignment horizontal="left"/>
    </xf>
    <xf numFmtId="166" fontId="31" fillId="0" borderId="15" xfId="0" applyNumberFormat="1" applyFont="1" applyFill="1" applyBorder="1" applyAlignment="1" applyProtection="1">
      <alignment horizontal="center"/>
    </xf>
    <xf numFmtId="174" fontId="23" fillId="4" borderId="31" xfId="0" applyNumberFormat="1" applyFont="1" applyFill="1" applyBorder="1" applyAlignment="1" applyProtection="1">
      <alignment horizontal="center" vertical="center"/>
    </xf>
    <xf numFmtId="174" fontId="23" fillId="4" borderId="37" xfId="0" applyNumberFormat="1" applyFont="1" applyFill="1" applyBorder="1" applyAlignment="1" applyProtection="1">
      <alignment horizontal="centerContinuous" vertical="center"/>
    </xf>
    <xf numFmtId="174" fontId="23" fillId="3" borderId="31" xfId="0" applyNumberFormat="1" applyFont="1" applyFill="1" applyBorder="1" applyAlignment="1" applyProtection="1">
      <alignment horizontal="center"/>
    </xf>
    <xf numFmtId="174" fontId="23" fillId="3" borderId="37" xfId="0" applyNumberFormat="1" applyFont="1" applyFill="1" applyBorder="1" applyAlignment="1" applyProtection="1">
      <alignment horizontal="centerContinuous"/>
    </xf>
    <xf numFmtId="174" fontId="23" fillId="3" borderId="22" xfId="0" applyNumberFormat="1" applyFont="1" applyFill="1" applyBorder="1" applyAlignment="1" applyProtection="1">
      <alignment horizontal="center"/>
    </xf>
    <xf numFmtId="174" fontId="23" fillId="3" borderId="22" xfId="0" applyNumberFormat="1" applyFont="1" applyFill="1" applyBorder="1" applyAlignment="1" applyProtection="1">
      <alignment horizontal="centerContinuous"/>
    </xf>
    <xf numFmtId="174" fontId="23" fillId="3" borderId="0" xfId="0" applyNumberFormat="1" applyFont="1" applyFill="1" applyBorder="1" applyAlignment="1" applyProtection="1">
      <alignment horizontal="centerContinuous"/>
    </xf>
    <xf numFmtId="169" fontId="31" fillId="2" borderId="16" xfId="2" applyNumberFormat="1" applyFont="1" applyFill="1" applyBorder="1" applyAlignment="1" applyProtection="1">
      <alignment horizontal="center"/>
      <protection locked="0"/>
    </xf>
    <xf numFmtId="169" fontId="31" fillId="2" borderId="1" xfId="2" applyNumberFormat="1" applyFont="1" applyFill="1" applyBorder="1" applyAlignment="1" applyProtection="1">
      <alignment horizontal="center"/>
      <protection locked="0"/>
    </xf>
    <xf numFmtId="169" fontId="31" fillId="2" borderId="17" xfId="2" applyNumberFormat="1" applyFont="1" applyFill="1" applyBorder="1" applyAlignment="1" applyProtection="1">
      <alignment horizontal="center"/>
      <protection locked="0"/>
    </xf>
    <xf numFmtId="169" fontId="31" fillId="0" borderId="45" xfId="2" applyNumberFormat="1" applyFont="1" applyFill="1" applyBorder="1" applyAlignment="1" applyProtection="1">
      <alignment horizontal="center"/>
    </xf>
    <xf numFmtId="0" fontId="22" fillId="0" borderId="13" xfId="0" applyFont="1" applyFill="1" applyBorder="1" applyAlignment="1">
      <alignment horizontal="center"/>
    </xf>
    <xf numFmtId="49" fontId="30" fillId="0" borderId="13" xfId="0" applyNumberFormat="1" applyFont="1" applyFill="1" applyBorder="1" applyAlignment="1" applyProtection="1">
      <alignment horizontal="center" vertical="center"/>
    </xf>
    <xf numFmtId="14" fontId="24" fillId="0" borderId="0" xfId="0" applyNumberFormat="1" applyFont="1" applyFill="1" applyBorder="1" applyAlignment="1" applyProtection="1">
      <alignment horizontal="right" vertical="center"/>
    </xf>
    <xf numFmtId="166" fontId="31" fillId="0" borderId="0" xfId="0" applyNumberFormat="1" applyFont="1" applyAlignment="1" applyProtection="1">
      <alignment horizontal="center"/>
    </xf>
    <xf numFmtId="0" fontId="32" fillId="6" borderId="25" xfId="0" applyFont="1" applyFill="1" applyBorder="1" applyAlignment="1" applyProtection="1">
      <alignment horizontal="right"/>
    </xf>
    <xf numFmtId="169" fontId="24" fillId="0" borderId="16" xfId="0" applyNumberFormat="1" applyFont="1" applyFill="1" applyBorder="1" applyAlignment="1" applyProtection="1">
      <alignment horizontal="center"/>
    </xf>
    <xf numFmtId="9" fontId="24" fillId="0" borderId="17" xfId="2" applyFont="1" applyFill="1" applyBorder="1" applyAlignment="1" applyProtection="1">
      <alignment horizontal="center"/>
    </xf>
    <xf numFmtId="169" fontId="31" fillId="0" borderId="47" xfId="2" applyNumberFormat="1" applyFont="1" applyFill="1" applyBorder="1" applyAlignment="1" applyProtection="1">
      <alignment horizontal="center"/>
    </xf>
    <xf numFmtId="169" fontId="31" fillId="0" borderId="33" xfId="2" applyNumberFormat="1" applyFont="1" applyFill="1" applyBorder="1" applyAlignment="1" applyProtection="1">
      <alignment horizontal="center"/>
    </xf>
    <xf numFmtId="167" fontId="22" fillId="6" borderId="20" xfId="0" applyNumberFormat="1" applyFont="1" applyFill="1" applyBorder="1" applyAlignment="1" applyProtection="1">
      <alignment horizontal="centerContinuous" vertical="center"/>
    </xf>
    <xf numFmtId="167" fontId="2" fillId="6" borderId="18" xfId="0" applyNumberFormat="1" applyFont="1" applyFill="1" applyBorder="1" applyAlignment="1" applyProtection="1">
      <alignment horizontal="center"/>
    </xf>
    <xf numFmtId="0" fontId="34" fillId="0" borderId="0" xfId="0" applyFont="1"/>
    <xf numFmtId="176" fontId="2" fillId="6" borderId="0" xfId="0" applyNumberFormat="1" applyFont="1" applyFill="1" applyBorder="1" applyAlignment="1" applyProtection="1">
      <alignment horizontal="right"/>
    </xf>
    <xf numFmtId="178" fontId="22" fillId="6" borderId="39" xfId="0" applyNumberFormat="1" applyFont="1" applyFill="1" applyBorder="1" applyAlignment="1" applyProtection="1">
      <alignment horizontal="center"/>
    </xf>
    <xf numFmtId="180" fontId="24" fillId="6" borderId="0" xfId="0" applyNumberFormat="1" applyFont="1" applyFill="1" applyBorder="1" applyAlignment="1" applyProtection="1">
      <alignment vertical="center"/>
    </xf>
    <xf numFmtId="179" fontId="24" fillId="6" borderId="22" xfId="0" applyNumberFormat="1" applyFont="1" applyFill="1" applyBorder="1" applyAlignment="1" applyProtection="1">
      <alignment horizontal="left" vertical="center"/>
    </xf>
    <xf numFmtId="0" fontId="49" fillId="0" borderId="0" xfId="0" applyFont="1" applyBorder="1" applyProtection="1"/>
    <xf numFmtId="0" fontId="50" fillId="0" borderId="0" xfId="0" applyFont="1" applyProtection="1"/>
    <xf numFmtId="165" fontId="51" fillId="0" borderId="31" xfId="0" applyNumberFormat="1" applyFont="1" applyFill="1" applyBorder="1" applyAlignment="1" applyProtection="1">
      <alignment horizontal="center"/>
    </xf>
    <xf numFmtId="165" fontId="51" fillId="0" borderId="46" xfId="0" applyNumberFormat="1" applyFont="1" applyFill="1" applyBorder="1" applyAlignment="1" applyProtection="1">
      <alignment horizontal="center"/>
    </xf>
    <xf numFmtId="1" fontId="0" fillId="9" borderId="1" xfId="0" applyNumberFormat="1" applyFill="1" applyBorder="1" applyAlignment="1" applyProtection="1">
      <alignment horizontal="center"/>
    </xf>
    <xf numFmtId="1" fontId="34" fillId="6" borderId="1" xfId="0" applyNumberFormat="1" applyFont="1" applyFill="1" applyBorder="1" applyAlignment="1" applyProtection="1">
      <alignment horizontal="center"/>
    </xf>
    <xf numFmtId="0" fontId="0" fillId="9" borderId="1" xfId="0" applyFill="1" applyBorder="1" applyAlignment="1" applyProtection="1">
      <alignment vertical="center"/>
    </xf>
    <xf numFmtId="0" fontId="2" fillId="0" borderId="0" xfId="0" applyFont="1" applyBorder="1" applyAlignment="1" applyProtection="1">
      <alignment horizontal="left" vertical="top"/>
    </xf>
    <xf numFmtId="0" fontId="2" fillId="0" borderId="0" xfId="0" applyFont="1" applyAlignment="1">
      <alignment horizontal="left" vertical="top"/>
    </xf>
    <xf numFmtId="0" fontId="1" fillId="6" borderId="6" xfId="0" applyFont="1" applyFill="1" applyBorder="1"/>
    <xf numFmtId="0" fontId="1" fillId="6" borderId="8" xfId="0" applyFont="1" applyFill="1" applyBorder="1" applyProtection="1"/>
    <xf numFmtId="8" fontId="23" fillId="6" borderId="31" xfId="0" applyNumberFormat="1" applyFont="1" applyFill="1" applyBorder="1" applyAlignment="1" applyProtection="1">
      <alignment horizontal="left" wrapText="1"/>
    </xf>
    <xf numFmtId="0" fontId="27" fillId="0" borderId="0" xfId="0" applyFont="1" applyFill="1" applyProtection="1"/>
    <xf numFmtId="0" fontId="2" fillId="0" borderId="0" xfId="0" applyFont="1" applyFill="1" applyAlignment="1">
      <alignment horizontal="right" vertical="center"/>
    </xf>
    <xf numFmtId="0" fontId="1" fillId="6" borderId="7" xfId="0" applyFont="1" applyFill="1" applyBorder="1" applyProtection="1"/>
    <xf numFmtId="0" fontId="1" fillId="6" borderId="7" xfId="0" applyFont="1" applyFill="1" applyBorder="1" applyAlignment="1" applyProtection="1"/>
    <xf numFmtId="175" fontId="2" fillId="6" borderId="22" xfId="0" applyNumberFormat="1" applyFont="1" applyFill="1" applyBorder="1" applyAlignment="1" applyProtection="1">
      <alignment horizontal="left"/>
    </xf>
    <xf numFmtId="177" fontId="22" fillId="6" borderId="15" xfId="0" applyNumberFormat="1" applyFont="1" applyFill="1" applyBorder="1" applyAlignment="1" applyProtection="1">
      <alignment horizontal="left"/>
    </xf>
    <xf numFmtId="0" fontId="1" fillId="0" borderId="0" xfId="0" applyFont="1" applyBorder="1" applyProtection="1"/>
    <xf numFmtId="0" fontId="60" fillId="0" borderId="0" xfId="0" applyFont="1" applyAlignment="1">
      <alignment vertical="center"/>
    </xf>
    <xf numFmtId="0" fontId="61" fillId="0" borderId="0" xfId="0" applyFont="1" applyAlignment="1" applyProtection="1">
      <alignment vertical="center"/>
    </xf>
    <xf numFmtId="0" fontId="62" fillId="0" borderId="0" xfId="0" applyFont="1" applyAlignment="1">
      <alignment horizontal="right" vertical="center"/>
    </xf>
    <xf numFmtId="0" fontId="61" fillId="0" borderId="0" xfId="0" applyFont="1" applyAlignment="1">
      <alignment vertical="center"/>
    </xf>
    <xf numFmtId="0" fontId="63" fillId="0" borderId="0" xfId="0" applyFont="1" applyAlignment="1" applyProtection="1">
      <alignment horizontal="left" vertical="center"/>
    </xf>
    <xf numFmtId="0" fontId="63" fillId="0" borderId="0" xfId="0" applyFont="1" applyAlignment="1" applyProtection="1">
      <alignment horizontal="right" vertical="center"/>
    </xf>
    <xf numFmtId="0" fontId="63" fillId="0" borderId="0" xfId="0" applyFont="1" applyAlignment="1">
      <alignment horizontal="right" vertical="center"/>
    </xf>
    <xf numFmtId="0" fontId="1" fillId="6" borderId="11" xfId="0" applyFont="1" applyFill="1" applyBorder="1" applyAlignment="1" applyProtection="1">
      <alignment horizontal="left"/>
    </xf>
    <xf numFmtId="9" fontId="64" fillId="0" borderId="21" xfId="2" applyFont="1" applyBorder="1" applyAlignment="1" applyProtection="1">
      <alignment horizontal="left"/>
    </xf>
    <xf numFmtId="0" fontId="1" fillId="6" borderId="6" xfId="0" applyFont="1" applyFill="1" applyBorder="1" applyProtection="1"/>
    <xf numFmtId="0" fontId="1" fillId="6" borderId="0" xfId="0" applyFont="1" applyFill="1" applyBorder="1"/>
    <xf numFmtId="0" fontId="1" fillId="6" borderId="0" xfId="0" applyFont="1" applyFill="1" applyBorder="1" applyProtection="1"/>
    <xf numFmtId="0" fontId="1" fillId="6" borderId="30" xfId="0" applyFont="1" applyFill="1" applyBorder="1" applyProtection="1"/>
    <xf numFmtId="0" fontId="32" fillId="6" borderId="37" xfId="0" applyFont="1" applyFill="1" applyBorder="1" applyProtection="1"/>
    <xf numFmtId="0" fontId="0" fillId="10" borderId="0" xfId="0" applyFill="1" applyAlignment="1">
      <alignment vertical="center"/>
    </xf>
    <xf numFmtId="0" fontId="0" fillId="10" borderId="0" xfId="0" applyFill="1"/>
    <xf numFmtId="0" fontId="1" fillId="10" borderId="0" xfId="0" applyFont="1" applyFill="1" applyAlignment="1">
      <alignment vertical="center"/>
    </xf>
    <xf numFmtId="0" fontId="1" fillId="10" borderId="0" xfId="0" applyFont="1" applyFill="1"/>
    <xf numFmtId="169" fontId="31" fillId="0" borderId="0" xfId="2" applyNumberFormat="1" applyFont="1" applyFill="1" applyBorder="1" applyAlignment="1" applyProtection="1">
      <alignment horizontal="center"/>
    </xf>
    <xf numFmtId="165" fontId="51" fillId="0" borderId="0" xfId="0" applyNumberFormat="1" applyFont="1" applyFill="1" applyBorder="1" applyAlignment="1" applyProtection="1">
      <alignment horizontal="center"/>
    </xf>
    <xf numFmtId="0" fontId="2" fillId="11" borderId="0" xfId="0" applyFont="1" applyFill="1" applyProtection="1"/>
    <xf numFmtId="0" fontId="2" fillId="11" borderId="0" xfId="0" applyFont="1" applyFill="1" applyAlignment="1" applyProtection="1">
      <alignment horizontal="right"/>
    </xf>
    <xf numFmtId="0" fontId="0" fillId="11" borderId="0" xfId="0" applyFill="1"/>
    <xf numFmtId="0" fontId="0" fillId="11" borderId="0" xfId="0" applyFill="1" applyProtection="1"/>
    <xf numFmtId="0" fontId="0" fillId="11" borderId="0" xfId="0" applyFill="1" applyAlignment="1">
      <alignment vertical="center"/>
    </xf>
    <xf numFmtId="2" fontId="31" fillId="2" borderId="2" xfId="0" applyNumberFormat="1" applyFont="1" applyFill="1" applyBorder="1" applyAlignment="1" applyProtection="1">
      <alignment horizontal="center"/>
      <protection locked="0"/>
    </xf>
    <xf numFmtId="2" fontId="31" fillId="2" borderId="1" xfId="0" applyNumberFormat="1" applyFont="1" applyFill="1" applyBorder="1" applyAlignment="1" applyProtection="1">
      <alignment horizontal="center"/>
      <protection locked="0"/>
    </xf>
    <xf numFmtId="0" fontId="31" fillId="6" borderId="0" xfId="0" applyFont="1" applyFill="1" applyBorder="1" applyAlignment="1" applyProtection="1">
      <alignment horizontal="left"/>
    </xf>
    <xf numFmtId="0" fontId="44" fillId="6" borderId="0" xfId="0" applyFont="1" applyFill="1" applyBorder="1" applyAlignment="1" applyProtection="1"/>
    <xf numFmtId="0" fontId="1" fillId="0" borderId="19" xfId="0" applyFont="1" applyBorder="1" applyAlignment="1" applyProtection="1">
      <alignment horizontal="center" vertical="center"/>
    </xf>
    <xf numFmtId="0" fontId="0" fillId="5" borderId="0" xfId="0" applyFill="1" applyBorder="1" applyAlignment="1">
      <alignment vertical="center"/>
    </xf>
    <xf numFmtId="0" fontId="0" fillId="5" borderId="0" xfId="0" applyFill="1" applyBorder="1" applyAlignment="1">
      <alignment horizontal="center" vertical="center"/>
    </xf>
    <xf numFmtId="0" fontId="54" fillId="5" borderId="11" xfId="0" applyFont="1" applyFill="1" applyBorder="1" applyAlignment="1">
      <alignment horizontal="left" vertical="center"/>
    </xf>
    <xf numFmtId="0" fontId="54" fillId="5" borderId="9" xfId="0" applyFont="1" applyFill="1" applyBorder="1" applyAlignment="1">
      <alignment horizontal="left" vertical="center"/>
    </xf>
    <xf numFmtId="0" fontId="54" fillId="5" borderId="3" xfId="0" applyFont="1" applyFill="1" applyBorder="1" applyAlignment="1">
      <alignment horizontal="left" vertical="center"/>
    </xf>
    <xf numFmtId="0" fontId="54" fillId="5" borderId="7" xfId="0" applyFont="1" applyFill="1" applyBorder="1" applyAlignment="1">
      <alignment horizontal="left" vertical="center"/>
    </xf>
    <xf numFmtId="0" fontId="0" fillId="5" borderId="4" xfId="0" applyFill="1" applyBorder="1" applyAlignment="1">
      <alignment horizontal="center" vertical="center"/>
    </xf>
    <xf numFmtId="0" fontId="2" fillId="12" borderId="5" xfId="0" applyFont="1" applyFill="1" applyBorder="1" applyAlignment="1" applyProtection="1">
      <alignment horizontal="left"/>
    </xf>
    <xf numFmtId="0" fontId="31" fillId="0" borderId="0" xfId="0" applyFont="1" applyFill="1" applyBorder="1" applyAlignment="1" applyProtection="1"/>
    <xf numFmtId="0" fontId="31" fillId="0" borderId="0" xfId="0" applyFont="1" applyFill="1" applyBorder="1" applyProtection="1"/>
    <xf numFmtId="0" fontId="0" fillId="0" borderId="0" xfId="0" applyFill="1"/>
    <xf numFmtId="0" fontId="0" fillId="0" borderId="0" xfId="0" applyFill="1" applyAlignment="1">
      <alignment vertical="center"/>
    </xf>
    <xf numFmtId="0" fontId="31" fillId="10" borderId="24" xfId="0" applyFont="1" applyFill="1" applyBorder="1" applyAlignment="1" applyProtection="1">
      <alignment horizontal="center"/>
    </xf>
    <xf numFmtId="2" fontId="31" fillId="2" borderId="52" xfId="0" applyNumberFormat="1" applyFont="1" applyFill="1" applyBorder="1" applyAlignment="1" applyProtection="1">
      <alignment horizontal="center"/>
      <protection locked="0"/>
    </xf>
    <xf numFmtId="2" fontId="31" fillId="2" borderId="33" xfId="0" applyNumberFormat="1" applyFont="1" applyFill="1" applyBorder="1" applyAlignment="1" applyProtection="1">
      <alignment horizontal="center"/>
      <protection locked="0"/>
    </xf>
    <xf numFmtId="0" fontId="2" fillId="0" borderId="21" xfId="0" applyFont="1" applyBorder="1" applyAlignment="1" applyProtection="1">
      <alignment horizontal="right"/>
    </xf>
    <xf numFmtId="0" fontId="2" fillId="0" borderId="21" xfId="0" applyFont="1" applyBorder="1" applyAlignment="1" applyProtection="1">
      <alignment horizontal="left"/>
    </xf>
    <xf numFmtId="0" fontId="0" fillId="0" borderId="21" xfId="0" applyBorder="1" applyAlignment="1" applyProtection="1">
      <alignment vertical="center"/>
    </xf>
    <xf numFmtId="2" fontId="31" fillId="2" borderId="17" xfId="0" applyNumberFormat="1" applyFont="1" applyFill="1" applyBorder="1" applyAlignment="1" applyProtection="1">
      <alignment horizontal="center"/>
      <protection locked="0"/>
    </xf>
    <xf numFmtId="2" fontId="31" fillId="2" borderId="45" xfId="0" applyNumberFormat="1" applyFont="1" applyFill="1" applyBorder="1" applyAlignment="1" applyProtection="1">
      <alignment horizontal="center"/>
      <protection locked="0"/>
    </xf>
    <xf numFmtId="0" fontId="35" fillId="8" borderId="35" xfId="0" applyFont="1" applyFill="1" applyBorder="1" applyAlignment="1" applyProtection="1">
      <alignment vertical="center"/>
    </xf>
    <xf numFmtId="0" fontId="15" fillId="8" borderId="34" xfId="0" applyFont="1" applyFill="1" applyBorder="1" applyAlignment="1" applyProtection="1">
      <alignment vertical="center"/>
    </xf>
    <xf numFmtId="0" fontId="5" fillId="0" borderId="41" xfId="0" applyFont="1" applyBorder="1"/>
    <xf numFmtId="0" fontId="5" fillId="0" borderId="53" xfId="0" applyFont="1" applyBorder="1"/>
    <xf numFmtId="1" fontId="5" fillId="0" borderId="49" xfId="0" applyNumberFormat="1" applyFont="1" applyBorder="1" applyAlignment="1">
      <alignment horizontal="center"/>
    </xf>
    <xf numFmtId="0" fontId="5" fillId="0" borderId="54" xfId="0" applyFont="1" applyBorder="1"/>
    <xf numFmtId="0" fontId="6" fillId="0" borderId="41" xfId="0" applyFont="1" applyBorder="1"/>
    <xf numFmtId="0" fontId="5" fillId="0" borderId="29" xfId="0" applyFont="1" applyBorder="1"/>
    <xf numFmtId="0" fontId="5" fillId="0" borderId="12" xfId="0" applyFont="1" applyBorder="1" applyAlignment="1">
      <alignment horizontal="center"/>
    </xf>
    <xf numFmtId="170" fontId="38" fillId="0" borderId="0" xfId="3" applyNumberFormat="1" applyFont="1" applyAlignment="1">
      <alignment horizontal="center"/>
    </xf>
    <xf numFmtId="168" fontId="38" fillId="0" borderId="42" xfId="3" applyNumberFormat="1" applyFont="1" applyBorder="1" applyAlignment="1">
      <alignment horizontal="center"/>
    </xf>
    <xf numFmtId="168" fontId="38" fillId="0" borderId="0" xfId="3" applyNumberFormat="1" applyFont="1" applyBorder="1" applyAlignment="1">
      <alignment horizontal="center"/>
    </xf>
    <xf numFmtId="169" fontId="2" fillId="0" borderId="0" xfId="2" applyNumberFormat="1" applyFont="1" applyAlignment="1">
      <alignment vertical="center"/>
    </xf>
    <xf numFmtId="9" fontId="0" fillId="0" borderId="0" xfId="2" applyFont="1" applyAlignment="1">
      <alignment vertical="center"/>
    </xf>
    <xf numFmtId="0" fontId="20" fillId="6" borderId="0" xfId="0" applyFont="1" applyFill="1" applyBorder="1" applyAlignment="1" applyProtection="1">
      <alignment horizontal="left"/>
    </xf>
    <xf numFmtId="0" fontId="1" fillId="6" borderId="0" xfId="0" applyFont="1" applyFill="1" applyBorder="1" applyAlignment="1" applyProtection="1">
      <alignment horizontal="left"/>
    </xf>
    <xf numFmtId="0" fontId="29" fillId="6" borderId="22" xfId="0" applyFont="1" applyFill="1" applyBorder="1" applyAlignment="1" applyProtection="1">
      <alignment horizontal="left"/>
    </xf>
    <xf numFmtId="0" fontId="1" fillId="0" borderId="0" xfId="0" applyFont="1"/>
    <xf numFmtId="0" fontId="35" fillId="8" borderId="36" xfId="0" applyFont="1" applyFill="1" applyBorder="1" applyAlignment="1" applyProtection="1">
      <alignment vertical="center"/>
    </xf>
    <xf numFmtId="0" fontId="1" fillId="0" borderId="0" xfId="0" applyFont="1" applyAlignment="1">
      <alignment vertical="center" wrapText="1"/>
    </xf>
    <xf numFmtId="0" fontId="15" fillId="0" borderId="0" xfId="0" applyFont="1" applyFill="1" applyBorder="1" applyAlignment="1" applyProtection="1">
      <alignment horizontal="left" vertical="center"/>
    </xf>
    <xf numFmtId="0" fontId="29" fillId="6" borderId="0" xfId="0" applyFont="1" applyFill="1" applyAlignment="1" applyProtection="1">
      <alignment horizontal="right" vertical="center"/>
    </xf>
    <xf numFmtId="14" fontId="29" fillId="2" borderId="42" xfId="0" applyNumberFormat="1" applyFont="1" applyFill="1" applyBorder="1" applyAlignment="1" applyProtection="1">
      <alignment horizontal="center" vertical="center"/>
      <protection locked="0"/>
    </xf>
    <xf numFmtId="167" fontId="31" fillId="2" borderId="16" xfId="0" applyNumberFormat="1" applyFont="1" applyFill="1" applyBorder="1" applyAlignment="1" applyProtection="1">
      <alignment horizontal="center"/>
      <protection locked="0"/>
    </xf>
    <xf numFmtId="0" fontId="9" fillId="3" borderId="18" xfId="0" applyFont="1" applyFill="1" applyBorder="1" applyAlignment="1" applyProtection="1">
      <alignment horizontal="left"/>
    </xf>
    <xf numFmtId="0" fontId="3" fillId="0" borderId="7" xfId="0" applyFont="1" applyBorder="1" applyAlignment="1">
      <alignment horizontal="left" vertical="top"/>
    </xf>
    <xf numFmtId="0" fontId="3" fillId="0" borderId="0" xfId="0" applyFont="1" applyBorder="1" applyAlignment="1">
      <alignment horizontal="centerContinuous" vertical="top"/>
    </xf>
    <xf numFmtId="0" fontId="3" fillId="0" borderId="0" xfId="0" applyFont="1" applyBorder="1" applyAlignment="1">
      <alignment vertical="top"/>
    </xf>
    <xf numFmtId="0" fontId="3" fillId="0" borderId="4" xfId="0" applyFont="1" applyBorder="1" applyAlignment="1">
      <alignment horizontal="centerContinuous" vertical="top"/>
    </xf>
    <xf numFmtId="0" fontId="3" fillId="0" borderId="7" xfId="0" applyFont="1" applyFill="1" applyBorder="1" applyAlignment="1">
      <alignment horizontal="left"/>
    </xf>
    <xf numFmtId="0" fontId="3" fillId="0" borderId="0" xfId="0" applyFont="1" applyBorder="1" applyAlignment="1">
      <alignment horizontal="left" vertical="top"/>
    </xf>
    <xf numFmtId="0" fontId="3" fillId="0" borderId="0"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4" fillId="0" borderId="0" xfId="0" applyFont="1" applyBorder="1" applyAlignment="1">
      <alignment vertical="center"/>
    </xf>
    <xf numFmtId="0" fontId="3" fillId="0" borderId="4" xfId="0" applyFont="1" applyBorder="1"/>
    <xf numFmtId="0" fontId="4" fillId="5" borderId="7" xfId="0" applyFont="1" applyFill="1" applyBorder="1" applyAlignment="1">
      <alignment vertical="center"/>
    </xf>
    <xf numFmtId="0" fontId="3" fillId="5" borderId="0" xfId="0" applyFont="1" applyFill="1" applyBorder="1" applyAlignment="1">
      <alignment vertical="center"/>
    </xf>
    <xf numFmtId="0" fontId="3"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12" borderId="7" xfId="0" applyFont="1" applyFill="1" applyBorder="1" applyAlignment="1">
      <alignment vertical="center"/>
    </xf>
    <xf numFmtId="0" fontId="3" fillId="12" borderId="0" xfId="0" applyFont="1" applyFill="1" applyBorder="1" applyAlignment="1">
      <alignment vertical="center"/>
    </xf>
    <xf numFmtId="0" fontId="3" fillId="12" borderId="8" xfId="0" applyFont="1" applyFill="1" applyBorder="1" applyAlignment="1">
      <alignment vertical="center"/>
    </xf>
    <xf numFmtId="0" fontId="3" fillId="12" borderId="21" xfId="0" applyFont="1" applyFill="1" applyBorder="1" applyAlignment="1">
      <alignment vertical="center"/>
    </xf>
    <xf numFmtId="0" fontId="3" fillId="5" borderId="0" xfId="0" applyFont="1" applyFill="1" applyBorder="1" applyAlignment="1">
      <alignment horizontal="left" vertical="center"/>
    </xf>
    <xf numFmtId="0" fontId="4" fillId="5" borderId="4" xfId="0" applyFont="1" applyFill="1" applyBorder="1" applyAlignment="1">
      <alignment horizontal="left" vertical="center"/>
    </xf>
    <xf numFmtId="4" fontId="2" fillId="6" borderId="22" xfId="0" applyNumberFormat="1" applyFont="1" applyFill="1" applyBorder="1" applyAlignment="1" applyProtection="1">
      <alignment horizontal="center"/>
    </xf>
    <xf numFmtId="4" fontId="2" fillId="6" borderId="0" xfId="0" applyNumberFormat="1" applyFont="1" applyFill="1" applyBorder="1" applyAlignment="1" applyProtection="1">
      <alignment horizontal="centerContinuous"/>
    </xf>
    <xf numFmtId="0" fontId="1" fillId="9" borderId="1" xfId="0" applyFont="1" applyFill="1" applyBorder="1" applyProtection="1"/>
    <xf numFmtId="0" fontId="1" fillId="9" borderId="17" xfId="0" applyFont="1" applyFill="1" applyBorder="1" applyProtection="1"/>
    <xf numFmtId="0" fontId="1" fillId="6" borderId="5" xfId="0" applyFont="1" applyFill="1" applyBorder="1" applyProtection="1"/>
    <xf numFmtId="0" fontId="1" fillId="6" borderId="21" xfId="0" applyFont="1" applyFill="1" applyBorder="1" applyProtection="1"/>
    <xf numFmtId="176" fontId="2" fillId="6" borderId="0" xfId="0" applyNumberFormat="1" applyFont="1" applyFill="1" applyBorder="1" applyAlignment="1" applyProtection="1"/>
    <xf numFmtId="0" fontId="29" fillId="2" borderId="42" xfId="0" applyFont="1" applyFill="1" applyBorder="1" applyAlignment="1" applyProtection="1">
      <alignment horizontal="center" vertical="center"/>
      <protection locked="0"/>
    </xf>
    <xf numFmtId="0" fontId="65" fillId="7" borderId="13" xfId="0" applyFont="1" applyFill="1" applyBorder="1" applyAlignment="1" applyProtection="1">
      <alignment horizontal="center" vertical="center"/>
      <protection locked="0"/>
    </xf>
    <xf numFmtId="0" fontId="66" fillId="7" borderId="13"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protection locked="0"/>
    </xf>
    <xf numFmtId="0" fontId="44" fillId="2" borderId="1" xfId="0" applyFont="1" applyFill="1" applyBorder="1" applyAlignment="1" applyProtection="1">
      <alignment horizontal="center"/>
      <protection locked="0"/>
    </xf>
    <xf numFmtId="2" fontId="24" fillId="2" borderId="1" xfId="0" applyNumberFormat="1" applyFont="1" applyFill="1" applyBorder="1" applyAlignment="1" applyProtection="1">
      <alignment horizontal="center"/>
      <protection locked="0"/>
    </xf>
    <xf numFmtId="2" fontId="31" fillId="2" borderId="19" xfId="0" applyNumberFormat="1" applyFont="1" applyFill="1" applyBorder="1" applyAlignment="1" applyProtection="1">
      <alignment horizontal="center"/>
      <protection locked="0"/>
    </xf>
    <xf numFmtId="1" fontId="31" fillId="2" borderId="1" xfId="0" applyNumberFormat="1" applyFont="1" applyFill="1" applyBorder="1" applyAlignment="1" applyProtection="1">
      <alignment horizontal="center"/>
      <protection locked="0"/>
    </xf>
    <xf numFmtId="0" fontId="31" fillId="2" borderId="19" xfId="0" applyFont="1" applyFill="1" applyBorder="1" applyAlignment="1" applyProtection="1">
      <alignment horizontal="center"/>
      <protection locked="0"/>
    </xf>
    <xf numFmtId="2" fontId="44" fillId="2" borderId="1" xfId="0" applyNumberFormat="1" applyFont="1" applyFill="1" applyBorder="1" applyAlignment="1" applyProtection="1">
      <alignment horizontal="center"/>
      <protection locked="0"/>
    </xf>
    <xf numFmtId="3" fontId="44" fillId="2" borderId="2" xfId="0" applyNumberFormat="1" applyFont="1" applyFill="1" applyBorder="1" applyAlignment="1" applyProtection="1">
      <alignment horizontal="center"/>
      <protection locked="0"/>
    </xf>
    <xf numFmtId="3" fontId="44" fillId="0" borderId="1" xfId="0" applyNumberFormat="1" applyFont="1" applyFill="1" applyBorder="1" applyAlignment="1" applyProtection="1">
      <alignment horizontal="center"/>
    </xf>
    <xf numFmtId="3" fontId="44" fillId="2" borderId="1" xfId="0" applyNumberFormat="1" applyFont="1" applyFill="1" applyBorder="1" applyAlignment="1" applyProtection="1">
      <alignment horizontal="center"/>
      <protection locked="0"/>
    </xf>
    <xf numFmtId="2" fontId="31" fillId="2" borderId="16" xfId="0" applyNumberFormat="1" applyFont="1" applyFill="1" applyBorder="1" applyAlignment="1" applyProtection="1">
      <alignment horizontal="center"/>
      <protection locked="0"/>
    </xf>
    <xf numFmtId="2" fontId="31" fillId="6" borderId="1" xfId="0" applyNumberFormat="1" applyFont="1" applyFill="1" applyBorder="1" applyAlignment="1" applyProtection="1">
      <alignment horizontal="center"/>
    </xf>
    <xf numFmtId="169" fontId="31" fillId="2" borderId="19" xfId="2" applyNumberFormat="1" applyFont="1" applyFill="1" applyBorder="1" applyAlignment="1" applyProtection="1">
      <alignment horizontal="center"/>
      <protection locked="0"/>
    </xf>
    <xf numFmtId="1" fontId="31" fillId="0" borderId="1" xfId="0" applyNumberFormat="1" applyFont="1" applyBorder="1" applyAlignment="1" applyProtection="1">
      <alignment horizontal="center"/>
    </xf>
    <xf numFmtId="1" fontId="31" fillId="6" borderId="19" xfId="0" applyNumberFormat="1" applyFont="1" applyFill="1" applyBorder="1" applyAlignment="1" applyProtection="1">
      <alignment horizontal="center"/>
    </xf>
    <xf numFmtId="0" fontId="31" fillId="2" borderId="1" xfId="0" applyFont="1" applyFill="1" applyBorder="1" applyAlignment="1" applyProtection="1">
      <alignment horizontal="center"/>
      <protection locked="0"/>
    </xf>
    <xf numFmtId="167" fontId="31" fillId="2" borderId="17" xfId="0" applyNumberFormat="1" applyFont="1" applyFill="1" applyBorder="1" applyAlignment="1" applyProtection="1">
      <alignment horizontal="center"/>
      <protection locked="0"/>
    </xf>
    <xf numFmtId="167" fontId="37" fillId="2" borderId="1" xfId="0" applyNumberFormat="1" applyFont="1" applyFill="1" applyBorder="1" applyAlignment="1" applyProtection="1">
      <alignment horizontal="center"/>
      <protection locked="0"/>
    </xf>
    <xf numFmtId="167" fontId="24" fillId="2" borderId="1" xfId="0" applyNumberFormat="1" applyFont="1" applyFill="1" applyBorder="1" applyAlignment="1" applyProtection="1">
      <alignment horizontal="center"/>
      <protection locked="0"/>
    </xf>
    <xf numFmtId="1" fontId="44" fillId="2" borderId="1" xfId="0" applyNumberFormat="1" applyFont="1" applyFill="1" applyBorder="1" applyAlignment="1" applyProtection="1">
      <alignment horizontal="center"/>
      <protection locked="0"/>
    </xf>
    <xf numFmtId="1" fontId="24" fillId="2" borderId="19" xfId="0" applyNumberFormat="1" applyFont="1" applyFill="1" applyBorder="1" applyAlignment="1" applyProtection="1">
      <alignment horizontal="center"/>
      <protection locked="0"/>
    </xf>
    <xf numFmtId="1" fontId="24" fillId="2" borderId="1" xfId="0" applyNumberFormat="1" applyFont="1" applyFill="1" applyBorder="1" applyAlignment="1" applyProtection="1">
      <alignment horizontal="center"/>
      <protection locked="0"/>
    </xf>
    <xf numFmtId="2" fontId="24" fillId="6" borderId="19" xfId="0" applyNumberFormat="1" applyFont="1" applyFill="1" applyBorder="1" applyAlignment="1" applyProtection="1">
      <alignment horizontal="center"/>
    </xf>
    <xf numFmtId="2" fontId="31" fillId="0" borderId="1" xfId="0" applyNumberFormat="1" applyFont="1" applyBorder="1" applyAlignment="1" applyProtection="1">
      <alignment horizontal="center"/>
    </xf>
    <xf numFmtId="169" fontId="24" fillId="0" borderId="19" xfId="2" applyNumberFormat="1" applyFont="1" applyFill="1" applyBorder="1" applyAlignment="1" applyProtection="1">
      <alignment horizontal="center"/>
    </xf>
    <xf numFmtId="0" fontId="24" fillId="9" borderId="17" xfId="0" applyFont="1" applyFill="1" applyBorder="1" applyProtection="1"/>
    <xf numFmtId="167" fontId="37" fillId="2" borderId="17" xfId="0" applyNumberFormat="1" applyFont="1" applyFill="1" applyBorder="1" applyAlignment="1" applyProtection="1">
      <alignment horizontal="center"/>
      <protection locked="0"/>
    </xf>
    <xf numFmtId="2" fontId="37" fillId="6" borderId="1" xfId="0" applyNumberFormat="1" applyFont="1" applyFill="1" applyBorder="1" applyAlignment="1" applyProtection="1">
      <alignment horizontal="center"/>
    </xf>
    <xf numFmtId="2" fontId="37" fillId="0" borderId="1" xfId="0" applyNumberFormat="1" applyFont="1" applyFill="1" applyBorder="1" applyAlignment="1" applyProtection="1">
      <alignment horizontal="center"/>
    </xf>
    <xf numFmtId="0" fontId="24" fillId="6" borderId="4" xfId="0" applyFont="1" applyFill="1" applyBorder="1" applyProtection="1"/>
    <xf numFmtId="0" fontId="24" fillId="6" borderId="20" xfId="0" applyFont="1" applyFill="1" applyBorder="1" applyProtection="1"/>
    <xf numFmtId="0" fontId="24" fillId="6" borderId="5" xfId="0" applyFont="1" applyFill="1" applyBorder="1" applyProtection="1"/>
    <xf numFmtId="0" fontId="24" fillId="9" borderId="4" xfId="0" applyFont="1" applyFill="1" applyBorder="1" applyProtection="1"/>
    <xf numFmtId="0" fontId="31" fillId="6" borderId="20" xfId="0" applyFont="1" applyFill="1" applyBorder="1" applyProtection="1"/>
    <xf numFmtId="0" fontId="31" fillId="6" borderId="32" xfId="0" applyFont="1" applyFill="1" applyBorder="1" applyProtection="1"/>
    <xf numFmtId="0" fontId="31" fillId="9" borderId="4" xfId="0" applyFont="1" applyFill="1" applyBorder="1" applyProtection="1"/>
    <xf numFmtId="0" fontId="67" fillId="6" borderId="0" xfId="0" applyFont="1" applyFill="1" applyBorder="1" applyAlignment="1" applyProtection="1"/>
    <xf numFmtId="0" fontId="67" fillId="6" borderId="0" xfId="0" applyFont="1" applyFill="1" applyBorder="1" applyProtection="1"/>
    <xf numFmtId="0" fontId="67" fillId="6" borderId="25" xfId="0" applyFont="1" applyFill="1" applyBorder="1" applyProtection="1"/>
    <xf numFmtId="0" fontId="2" fillId="0" borderId="0" xfId="0" applyFont="1" applyFill="1" applyBorder="1" applyAlignment="1">
      <alignment horizontal="right" vertical="center"/>
    </xf>
    <xf numFmtId="0" fontId="23" fillId="6" borderId="0" xfId="0" applyFont="1" applyFill="1" applyBorder="1" applyAlignment="1" applyProtection="1">
      <alignment horizontal="left" wrapText="1"/>
    </xf>
    <xf numFmtId="2" fontId="68" fillId="0" borderId="0" xfId="0" applyNumberFormat="1" applyFont="1" applyFill="1" applyBorder="1" applyAlignment="1">
      <alignment horizontal="right" vertical="center"/>
    </xf>
    <xf numFmtId="1" fontId="22" fillId="6" borderId="25" xfId="0" applyNumberFormat="1" applyFont="1" applyFill="1" applyBorder="1" applyAlignment="1" applyProtection="1">
      <alignment horizontal="centerContinuous" vertical="center"/>
    </xf>
    <xf numFmtId="2" fontId="31" fillId="6" borderId="19" xfId="0" applyNumberFormat="1" applyFont="1" applyFill="1" applyBorder="1" applyAlignment="1" applyProtection="1">
      <alignment horizontal="center"/>
    </xf>
    <xf numFmtId="1" fontId="29" fillId="6" borderId="18" xfId="0" applyNumberFormat="1" applyFont="1" applyFill="1" applyBorder="1" applyAlignment="1" applyProtection="1">
      <alignment horizontal="center" vertical="center"/>
    </xf>
    <xf numFmtId="0" fontId="44" fillId="6" borderId="7" xfId="0" applyFont="1" applyFill="1" applyBorder="1" applyAlignment="1" applyProtection="1">
      <alignment horizontal="left"/>
    </xf>
    <xf numFmtId="0" fontId="31" fillId="6" borderId="7" xfId="0" applyFont="1" applyFill="1" applyBorder="1" applyAlignment="1" applyProtection="1">
      <alignment horizontal="left"/>
    </xf>
    <xf numFmtId="178" fontId="22" fillId="6" borderId="25" xfId="0" applyNumberFormat="1" applyFont="1" applyFill="1" applyBorder="1" applyAlignment="1" applyProtection="1">
      <alignment horizontal="center"/>
    </xf>
    <xf numFmtId="177" fontId="22" fillId="6" borderId="18" xfId="0" applyNumberFormat="1" applyFont="1" applyFill="1" applyBorder="1" applyAlignment="1" applyProtection="1">
      <alignment horizontal="left"/>
    </xf>
    <xf numFmtId="4" fontId="22" fillId="6" borderId="18" xfId="0" applyNumberFormat="1" applyFont="1" applyFill="1" applyBorder="1" applyAlignment="1" applyProtection="1">
      <alignment horizontal="center"/>
    </xf>
    <xf numFmtId="4" fontId="22" fillId="6" borderId="18" xfId="0" applyNumberFormat="1" applyFont="1" applyFill="1" applyBorder="1" applyAlignment="1" applyProtection="1">
      <alignment horizontal="centerContinuous"/>
    </xf>
    <xf numFmtId="2" fontId="24" fillId="2" borderId="19" xfId="0" applyNumberFormat="1" applyFont="1" applyFill="1" applyBorder="1" applyAlignment="1" applyProtection="1">
      <alignment horizontal="center"/>
      <protection locked="0"/>
    </xf>
    <xf numFmtId="2" fontId="31" fillId="2" borderId="2" xfId="2" applyNumberFormat="1" applyFont="1" applyFill="1" applyBorder="1" applyAlignment="1" applyProtection="1">
      <alignment horizontal="center"/>
      <protection locked="0"/>
    </xf>
    <xf numFmtId="2" fontId="31" fillId="2" borderId="1" xfId="2" applyNumberFormat="1" applyFont="1" applyFill="1" applyBorder="1" applyAlignment="1" applyProtection="1">
      <alignment horizontal="center"/>
      <protection locked="0"/>
    </xf>
    <xf numFmtId="2" fontId="31" fillId="2" borderId="17" xfId="2" applyNumberFormat="1" applyFont="1" applyFill="1" applyBorder="1" applyAlignment="1" applyProtection="1">
      <alignment horizontal="center"/>
      <protection locked="0"/>
    </xf>
    <xf numFmtId="2" fontId="31" fillId="11" borderId="19" xfId="0" applyNumberFormat="1" applyFont="1" applyFill="1" applyBorder="1" applyAlignment="1" applyProtection="1">
      <alignment horizontal="center"/>
    </xf>
    <xf numFmtId="166" fontId="31" fillId="0" borderId="0" xfId="0" applyNumberFormat="1" applyFont="1" applyFill="1" applyAlignment="1" applyProtection="1">
      <alignment horizontal="center"/>
    </xf>
    <xf numFmtId="0" fontId="1" fillId="0" borderId="13" xfId="0" applyFont="1" applyBorder="1" applyAlignment="1" applyProtection="1">
      <alignment horizontal="center" vertical="center"/>
    </xf>
    <xf numFmtId="0" fontId="1" fillId="0" borderId="15" xfId="0" applyFont="1" applyFill="1" applyBorder="1" applyAlignment="1" applyProtection="1"/>
    <xf numFmtId="0" fontId="1" fillId="0" borderId="38" xfId="0" applyFont="1" applyFill="1" applyBorder="1" applyAlignment="1" applyProtection="1">
      <alignment horizontal="left"/>
    </xf>
    <xf numFmtId="0" fontId="23" fillId="14" borderId="7" xfId="0" applyFont="1" applyFill="1" applyBorder="1" applyProtection="1"/>
    <xf numFmtId="0" fontId="23" fillId="14" borderId="0" xfId="0" applyFont="1" applyFill="1" applyBorder="1" applyProtection="1"/>
    <xf numFmtId="0" fontId="23" fillId="14" borderId="22" xfId="0" applyFont="1" applyFill="1" applyBorder="1" applyProtection="1"/>
    <xf numFmtId="0" fontId="23" fillId="14" borderId="1" xfId="0" applyFont="1" applyFill="1" applyBorder="1" applyAlignment="1" applyProtection="1">
      <alignment horizontal="center"/>
    </xf>
    <xf numFmtId="0" fontId="2" fillId="14" borderId="7" xfId="0" applyFont="1" applyFill="1" applyBorder="1" applyAlignment="1">
      <alignment vertical="center"/>
    </xf>
    <xf numFmtId="0" fontId="0" fillId="14" borderId="0" xfId="0" applyFill="1" applyBorder="1" applyAlignment="1">
      <alignment vertical="center"/>
    </xf>
    <xf numFmtId="0" fontId="2" fillId="14" borderId="8" xfId="0" applyFont="1" applyFill="1" applyBorder="1" applyAlignment="1">
      <alignment vertical="center"/>
    </xf>
    <xf numFmtId="0" fontId="23" fillId="14" borderId="21" xfId="0" applyFont="1" applyFill="1" applyBorder="1" applyProtection="1"/>
    <xf numFmtId="0" fontId="23" fillId="14" borderId="17" xfId="0" applyFont="1" applyFill="1" applyBorder="1" applyAlignment="1" applyProtection="1">
      <alignment horizontal="center"/>
    </xf>
    <xf numFmtId="0" fontId="23" fillId="15" borderId="1" xfId="0" applyFont="1" applyFill="1" applyBorder="1" applyAlignment="1" applyProtection="1">
      <alignment horizontal="center"/>
    </xf>
    <xf numFmtId="1" fontId="23" fillId="15" borderId="1" xfId="0" applyNumberFormat="1" applyFont="1" applyFill="1" applyBorder="1" applyAlignment="1" applyProtection="1">
      <alignment horizontal="center" vertical="center"/>
    </xf>
    <xf numFmtId="1" fontId="23" fillId="15" borderId="0" xfId="0" applyNumberFormat="1" applyFont="1" applyFill="1" applyBorder="1" applyAlignment="1" applyProtection="1">
      <alignment horizontal="center" vertical="center"/>
    </xf>
    <xf numFmtId="0" fontId="23" fillId="15" borderId="8" xfId="0" applyFont="1" applyFill="1" applyBorder="1" applyAlignment="1" applyProtection="1">
      <alignment vertical="center"/>
    </xf>
    <xf numFmtId="0" fontId="20" fillId="15" borderId="21" xfId="0" applyFont="1" applyFill="1" applyBorder="1" applyAlignment="1" applyProtection="1">
      <alignment vertical="center"/>
    </xf>
    <xf numFmtId="0" fontId="23" fillId="15" borderId="17" xfId="0" applyFont="1" applyFill="1" applyBorder="1" applyAlignment="1" applyProtection="1">
      <alignment horizontal="center" vertical="center"/>
    </xf>
    <xf numFmtId="0" fontId="0" fillId="15" borderId="1" xfId="0" applyFill="1" applyBorder="1" applyAlignment="1">
      <alignment vertical="center"/>
    </xf>
    <xf numFmtId="0" fontId="0" fillId="15" borderId="0" xfId="0" applyFill="1" applyBorder="1" applyAlignment="1">
      <alignment vertical="center"/>
    </xf>
    <xf numFmtId="0" fontId="0" fillId="15" borderId="28" xfId="0" applyFill="1" applyBorder="1" applyAlignment="1">
      <alignment vertical="center"/>
    </xf>
    <xf numFmtId="0" fontId="0" fillId="15" borderId="4" xfId="0" applyFill="1" applyBorder="1" applyAlignment="1">
      <alignment vertical="center"/>
    </xf>
    <xf numFmtId="0" fontId="2" fillId="6" borderId="6" xfId="0" applyFont="1" applyFill="1" applyBorder="1" applyAlignment="1">
      <alignment vertical="center"/>
    </xf>
    <xf numFmtId="0" fontId="23" fillId="4" borderId="6" xfId="0" applyFont="1" applyFill="1" applyBorder="1" applyAlignment="1" applyProtection="1">
      <alignment vertical="center"/>
    </xf>
    <xf numFmtId="0" fontId="23" fillId="4" borderId="25" xfId="0" applyFont="1" applyFill="1" applyBorder="1" applyAlignment="1" applyProtection="1">
      <alignment vertical="center"/>
    </xf>
    <xf numFmtId="0" fontId="23" fillId="4" borderId="18" xfId="0" applyFont="1" applyFill="1" applyBorder="1" applyAlignment="1" applyProtection="1">
      <alignment horizontal="center" vertical="center"/>
    </xf>
    <xf numFmtId="174" fontId="23" fillId="4" borderId="18" xfId="0" applyNumberFormat="1" applyFont="1" applyFill="1" applyBorder="1" applyAlignment="1" applyProtection="1">
      <alignment horizontal="center" vertical="center"/>
    </xf>
    <xf numFmtId="174" fontId="23" fillId="4" borderId="25" xfId="0" applyNumberFormat="1" applyFont="1" applyFill="1" applyBorder="1" applyAlignment="1" applyProtection="1">
      <alignment horizontal="centerContinuous" vertical="center"/>
    </xf>
    <xf numFmtId="1" fontId="23" fillId="4" borderId="20" xfId="0" applyNumberFormat="1" applyFont="1" applyFill="1" applyBorder="1" applyAlignment="1" applyProtection="1">
      <alignment horizontal="centerContinuous" vertical="center"/>
    </xf>
    <xf numFmtId="173" fontId="23" fillId="4" borderId="18" xfId="0" applyNumberFormat="1" applyFont="1" applyFill="1" applyBorder="1" applyAlignment="1" applyProtection="1">
      <alignment horizontal="center"/>
    </xf>
    <xf numFmtId="173" fontId="23" fillId="4" borderId="25" xfId="0" applyNumberFormat="1" applyFont="1" applyFill="1" applyBorder="1" applyAlignment="1" applyProtection="1">
      <alignment horizontal="centerContinuous"/>
    </xf>
    <xf numFmtId="3" fontId="23" fillId="4" borderId="20" xfId="0" applyNumberFormat="1" applyFont="1" applyFill="1" applyBorder="1" applyAlignment="1" applyProtection="1">
      <alignment horizontal="centerContinuous"/>
    </xf>
    <xf numFmtId="0" fontId="22" fillId="6" borderId="30" xfId="0" applyFont="1" applyFill="1" applyBorder="1" applyProtection="1"/>
    <xf numFmtId="176" fontId="2" fillId="6" borderId="37" xfId="0" applyNumberFormat="1" applyFont="1" applyFill="1" applyBorder="1" applyAlignment="1" applyProtection="1">
      <alignment horizontal="right"/>
    </xf>
    <xf numFmtId="175" fontId="2" fillId="6" borderId="31" xfId="0" applyNumberFormat="1" applyFont="1" applyFill="1" applyBorder="1" applyAlignment="1" applyProtection="1">
      <alignment horizontal="left"/>
    </xf>
    <xf numFmtId="0" fontId="22" fillId="6" borderId="31" xfId="0" applyFont="1" applyFill="1" applyBorder="1" applyAlignment="1" applyProtection="1">
      <alignment horizontal="center"/>
    </xf>
    <xf numFmtId="3" fontId="22" fillId="6" borderId="31" xfId="0" applyNumberFormat="1" applyFont="1" applyFill="1" applyBorder="1" applyAlignment="1" applyProtection="1">
      <alignment horizontal="center"/>
    </xf>
    <xf numFmtId="1" fontId="22" fillId="6" borderId="31" xfId="0" applyNumberFormat="1" applyFont="1" applyFill="1" applyBorder="1" applyAlignment="1" applyProtection="1">
      <alignment horizontal="center"/>
    </xf>
    <xf numFmtId="3" fontId="22" fillId="6" borderId="37" xfId="0" applyNumberFormat="1" applyFont="1" applyFill="1" applyBorder="1" applyAlignment="1" applyProtection="1">
      <alignment horizontal="centerContinuous"/>
    </xf>
    <xf numFmtId="3" fontId="22" fillId="6" borderId="32" xfId="0" applyNumberFormat="1" applyFont="1" applyFill="1" applyBorder="1" applyAlignment="1" applyProtection="1">
      <alignment horizontal="centerContinuous"/>
    </xf>
    <xf numFmtId="0" fontId="23" fillId="3" borderId="6" xfId="0" applyFont="1" applyFill="1" applyBorder="1" applyProtection="1"/>
    <xf numFmtId="0" fontId="23" fillId="3" borderId="25" xfId="0" applyFont="1" applyFill="1" applyBorder="1" applyProtection="1"/>
    <xf numFmtId="0" fontId="23" fillId="3" borderId="18" xfId="0" applyFont="1" applyFill="1" applyBorder="1" applyProtection="1"/>
    <xf numFmtId="0" fontId="23" fillId="3" borderId="18" xfId="0" applyFont="1" applyFill="1" applyBorder="1" applyAlignment="1" applyProtection="1">
      <alignment horizontal="center"/>
    </xf>
    <xf numFmtId="169" fontId="23" fillId="3" borderId="18" xfId="2" applyNumberFormat="1" applyFont="1" applyFill="1" applyBorder="1" applyAlignment="1" applyProtection="1">
      <alignment horizontal="center"/>
    </xf>
    <xf numFmtId="169" fontId="23" fillId="3" borderId="25" xfId="2" applyNumberFormat="1" applyFont="1" applyFill="1" applyBorder="1" applyAlignment="1" applyProtection="1">
      <alignment horizontal="centerContinuous"/>
    </xf>
    <xf numFmtId="3" fontId="23" fillId="3" borderId="20" xfId="0" applyNumberFormat="1" applyFont="1" applyFill="1" applyBorder="1" applyAlignment="1" applyProtection="1">
      <alignment horizontal="centerContinuous"/>
    </xf>
    <xf numFmtId="173" fontId="23" fillId="3" borderId="18" xfId="0" applyNumberFormat="1" applyFont="1" applyFill="1" applyBorder="1" applyAlignment="1" applyProtection="1">
      <alignment horizontal="center"/>
    </xf>
    <xf numFmtId="173" fontId="23" fillId="3" borderId="18" xfId="0" applyNumberFormat="1" applyFont="1" applyFill="1" applyBorder="1" applyAlignment="1" applyProtection="1">
      <alignment horizontal="centerContinuous"/>
    </xf>
    <xf numFmtId="3" fontId="23" fillId="6" borderId="1" xfId="0" applyNumberFormat="1" applyFont="1" applyFill="1" applyBorder="1" applyAlignment="1" applyProtection="1">
      <alignment horizontal="center"/>
    </xf>
    <xf numFmtId="3" fontId="23" fillId="6" borderId="28" xfId="0" applyNumberFormat="1" applyFont="1" applyFill="1" applyBorder="1" applyAlignment="1" applyProtection="1">
      <alignment horizontal="centerContinuous"/>
    </xf>
    <xf numFmtId="3" fontId="23" fillId="6" borderId="4" xfId="0" applyNumberFormat="1" applyFont="1" applyFill="1" applyBorder="1" applyAlignment="1" applyProtection="1">
      <alignment horizontal="centerContinuous"/>
    </xf>
    <xf numFmtId="3" fontId="23" fillId="6" borderId="19" xfId="0" applyNumberFormat="1" applyFont="1" applyFill="1" applyBorder="1" applyAlignment="1" applyProtection="1">
      <alignment horizontal="center"/>
    </xf>
    <xf numFmtId="3" fontId="23" fillId="14" borderId="1" xfId="0" applyNumberFormat="1" applyFont="1" applyFill="1" applyBorder="1" applyAlignment="1" applyProtection="1">
      <alignment horizontal="center"/>
    </xf>
    <xf numFmtId="3" fontId="23" fillId="14" borderId="28" xfId="0" applyNumberFormat="1" applyFont="1" applyFill="1" applyBorder="1" applyAlignment="1" applyProtection="1">
      <alignment horizontal="centerContinuous"/>
    </xf>
    <xf numFmtId="3" fontId="23" fillId="14" borderId="4" xfId="0" applyNumberFormat="1" applyFont="1" applyFill="1" applyBorder="1" applyAlignment="1" applyProtection="1">
      <alignment horizontal="centerContinuous"/>
    </xf>
    <xf numFmtId="3" fontId="23" fillId="14" borderId="17" xfId="0" applyNumberFormat="1" applyFont="1" applyFill="1" applyBorder="1" applyAlignment="1" applyProtection="1">
      <alignment horizontal="center"/>
    </xf>
    <xf numFmtId="3" fontId="23" fillId="14" borderId="48" xfId="0" applyNumberFormat="1" applyFont="1" applyFill="1" applyBorder="1" applyAlignment="1" applyProtection="1">
      <alignment horizontal="centerContinuous"/>
    </xf>
    <xf numFmtId="3" fontId="23" fillId="14" borderId="5" xfId="0" applyNumberFormat="1" applyFont="1" applyFill="1" applyBorder="1" applyAlignment="1" applyProtection="1">
      <alignment horizontal="centerContinuous"/>
    </xf>
    <xf numFmtId="0" fontId="29" fillId="6" borderId="30" xfId="0" applyFont="1" applyFill="1" applyBorder="1" applyProtection="1"/>
    <xf numFmtId="0" fontId="29" fillId="6" borderId="37" xfId="0" applyFont="1" applyFill="1" applyBorder="1" applyProtection="1"/>
    <xf numFmtId="0" fontId="29" fillId="6" borderId="31" xfId="0" applyFont="1" applyFill="1" applyBorder="1" applyAlignment="1" applyProtection="1">
      <alignment horizontal="left"/>
    </xf>
    <xf numFmtId="0" fontId="29" fillId="6" borderId="31" xfId="0" applyFont="1" applyFill="1" applyBorder="1" applyAlignment="1" applyProtection="1">
      <alignment horizontal="center"/>
    </xf>
    <xf numFmtId="3" fontId="29" fillId="6" borderId="31" xfId="0" applyNumberFormat="1" applyFont="1" applyFill="1" applyBorder="1" applyAlignment="1" applyProtection="1">
      <alignment horizontal="center" vertical="center"/>
    </xf>
    <xf numFmtId="3" fontId="29" fillId="6" borderId="37" xfId="0" applyNumberFormat="1" applyFont="1" applyFill="1" applyBorder="1" applyAlignment="1" applyProtection="1">
      <alignment horizontal="centerContinuous" vertical="center"/>
    </xf>
    <xf numFmtId="3" fontId="29" fillId="6" borderId="32" xfId="0" applyNumberFormat="1" applyFont="1" applyFill="1" applyBorder="1" applyAlignment="1" applyProtection="1">
      <alignment horizontal="centerContinuous" vertical="center"/>
    </xf>
    <xf numFmtId="0" fontId="9" fillId="4" borderId="31"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9" fillId="4" borderId="18" xfId="0" applyFont="1" applyFill="1" applyBorder="1" applyAlignment="1" applyProtection="1"/>
    <xf numFmtId="2" fontId="23" fillId="15" borderId="17" xfId="0" applyNumberFormat="1" applyFont="1" applyFill="1" applyBorder="1" applyAlignment="1" applyProtection="1">
      <alignment horizontal="center" vertical="center"/>
    </xf>
    <xf numFmtId="2" fontId="23" fillId="15" borderId="21" xfId="0" applyNumberFormat="1" applyFont="1" applyFill="1" applyBorder="1" applyAlignment="1" applyProtection="1">
      <alignment horizontal="center" vertical="center"/>
    </xf>
    <xf numFmtId="4" fontId="23" fillId="6" borderId="22" xfId="0" applyNumberFormat="1" applyFont="1" applyFill="1" applyBorder="1" applyAlignment="1" applyProtection="1">
      <alignment horizontal="center"/>
    </xf>
    <xf numFmtId="4" fontId="23" fillId="6" borderId="18" xfId="0" applyNumberFormat="1" applyFont="1" applyFill="1" applyBorder="1" applyAlignment="1" applyProtection="1">
      <alignment horizontal="center"/>
    </xf>
    <xf numFmtId="0" fontId="16" fillId="6" borderId="9" xfId="0" applyFont="1" applyFill="1" applyBorder="1" applyAlignment="1" applyProtection="1"/>
    <xf numFmtId="0" fontId="16" fillId="6" borderId="21" xfId="0" applyFont="1" applyFill="1" applyBorder="1" applyAlignment="1" applyProtection="1"/>
    <xf numFmtId="0" fontId="10" fillId="6" borderId="9" xfId="0" applyFont="1" applyFill="1" applyBorder="1" applyAlignment="1" applyProtection="1">
      <alignment horizontal="centerContinuous" vertical="center"/>
    </xf>
    <xf numFmtId="0" fontId="11" fillId="6" borderId="9" xfId="0" applyFont="1" applyFill="1" applyBorder="1" applyAlignment="1" applyProtection="1">
      <alignment horizontal="centerContinuous" vertical="center"/>
    </xf>
    <xf numFmtId="0" fontId="6" fillId="6" borderId="9" xfId="0" applyFont="1" applyFill="1" applyBorder="1" applyAlignment="1" applyProtection="1">
      <alignment horizontal="centerContinuous" vertical="center"/>
    </xf>
    <xf numFmtId="0" fontId="6" fillId="6" borderId="3" xfId="0" applyFont="1" applyFill="1" applyBorder="1" applyAlignment="1" applyProtection="1">
      <alignment horizontal="centerContinuous"/>
    </xf>
    <xf numFmtId="0" fontId="37" fillId="2" borderId="1" xfId="0" applyFont="1" applyFill="1" applyBorder="1" applyAlignment="1" applyProtection="1">
      <alignment horizontal="center"/>
      <protection locked="0"/>
    </xf>
    <xf numFmtId="0" fontId="10" fillId="7" borderId="12" xfId="0" applyFont="1" applyFill="1" applyBorder="1" applyAlignment="1" applyProtection="1">
      <alignment horizontal="center" vertical="center"/>
      <protection locked="0"/>
    </xf>
    <xf numFmtId="167" fontId="16" fillId="6" borderId="9" xfId="0" applyNumberFormat="1" applyFont="1" applyFill="1" applyBorder="1" applyAlignment="1" applyProtection="1">
      <alignment horizontal="left"/>
    </xf>
    <xf numFmtId="0" fontId="36" fillId="6" borderId="3" xfId="0" applyFont="1" applyFill="1" applyBorder="1" applyProtection="1"/>
    <xf numFmtId="0" fontId="16" fillId="6" borderId="8" xfId="0" applyFont="1" applyFill="1" applyBorder="1" applyAlignment="1" applyProtection="1"/>
    <xf numFmtId="0" fontId="29" fillId="6" borderId="5" xfId="0" applyFont="1" applyFill="1" applyBorder="1" applyAlignment="1" applyProtection="1">
      <alignment horizontal="center" vertical="center"/>
    </xf>
    <xf numFmtId="0" fontId="3" fillId="0" borderId="0" xfId="0" applyFont="1" applyBorder="1" applyAlignment="1">
      <alignment wrapText="1"/>
    </xf>
    <xf numFmtId="0" fontId="3" fillId="0" borderId="4" xfId="0" applyFont="1" applyBorder="1" applyAlignment="1">
      <alignment wrapText="1"/>
    </xf>
    <xf numFmtId="0" fontId="6" fillId="12" borderId="3" xfId="0" applyFont="1" applyFill="1" applyBorder="1" applyAlignment="1" applyProtection="1">
      <alignment vertical="center" wrapText="1"/>
    </xf>
    <xf numFmtId="0" fontId="53" fillId="12" borderId="11" xfId="0" applyFont="1" applyFill="1" applyBorder="1" applyAlignment="1" applyProtection="1">
      <alignment vertical="top" wrapText="1"/>
    </xf>
    <xf numFmtId="0" fontId="53" fillId="12" borderId="9" xfId="0" applyFont="1" applyFill="1" applyBorder="1" applyAlignment="1" applyProtection="1">
      <alignment vertical="top" wrapText="1"/>
    </xf>
    <xf numFmtId="0" fontId="31" fillId="0" borderId="5" xfId="0" applyFont="1" applyBorder="1" applyAlignment="1">
      <alignment vertical="center"/>
    </xf>
    <xf numFmtId="1" fontId="30" fillId="6" borderId="37" xfId="0" applyNumberFormat="1" applyFont="1" applyFill="1" applyBorder="1" applyAlignment="1" applyProtection="1">
      <alignment horizontal="center" vertical="center"/>
    </xf>
    <xf numFmtId="1" fontId="30" fillId="6" borderId="13" xfId="0" applyNumberFormat="1" applyFont="1" applyFill="1" applyBorder="1" applyAlignment="1" applyProtection="1">
      <alignment horizontal="centerContinuous" vertical="center"/>
    </xf>
    <xf numFmtId="1" fontId="2" fillId="6" borderId="2" xfId="0" applyNumberFormat="1" applyFont="1" applyFill="1" applyBorder="1" applyAlignment="1" applyProtection="1">
      <alignment horizontal="center" vertical="center"/>
    </xf>
    <xf numFmtId="1" fontId="2" fillId="6" borderId="1" xfId="0" applyNumberFormat="1" applyFont="1" applyFill="1" applyBorder="1" applyAlignment="1" applyProtection="1">
      <alignment horizontal="center" vertical="center"/>
    </xf>
    <xf numFmtId="1" fontId="2" fillId="6" borderId="19" xfId="0" applyNumberFormat="1" applyFont="1" applyFill="1" applyBorder="1" applyAlignment="1" applyProtection="1">
      <alignment horizontal="center" vertical="center"/>
    </xf>
    <xf numFmtId="1" fontId="22" fillId="6" borderId="19" xfId="0" applyNumberFormat="1" applyFont="1" applyFill="1" applyBorder="1" applyAlignment="1" applyProtection="1">
      <alignment horizontal="center" vertical="center"/>
    </xf>
    <xf numFmtId="0" fontId="24" fillId="6" borderId="20" xfId="0" applyFont="1" applyFill="1" applyBorder="1" applyAlignment="1" applyProtection="1">
      <alignment horizontal="left"/>
    </xf>
    <xf numFmtId="0" fontId="24" fillId="6" borderId="4" xfId="0" applyFont="1" applyFill="1" applyBorder="1" applyAlignment="1" applyProtection="1">
      <alignment horizontal="left"/>
    </xf>
    <xf numFmtId="0" fontId="0" fillId="16" borderId="37" xfId="0" applyFill="1" applyBorder="1" applyAlignment="1" applyProtection="1">
      <alignment vertical="center"/>
    </xf>
    <xf numFmtId="0" fontId="1" fillId="6" borderId="22" xfId="0" applyFont="1" applyFill="1" applyBorder="1" applyProtection="1"/>
    <xf numFmtId="0" fontId="1" fillId="0" borderId="39" xfId="0" applyFont="1" applyFill="1" applyBorder="1" applyAlignment="1" applyProtection="1">
      <alignment horizontal="left"/>
    </xf>
    <xf numFmtId="0" fontId="1" fillId="6" borderId="25" xfId="0" applyFont="1" applyFill="1" applyBorder="1" applyAlignment="1">
      <alignment horizontal="left"/>
    </xf>
    <xf numFmtId="0" fontId="31" fillId="0" borderId="4" xfId="0" applyFont="1" applyBorder="1" applyAlignment="1" applyProtection="1"/>
    <xf numFmtId="0" fontId="0" fillId="16" borderId="30" xfId="0" applyFill="1" applyBorder="1" applyAlignment="1" applyProtection="1">
      <alignment vertical="center"/>
    </xf>
    <xf numFmtId="0" fontId="0" fillId="16" borderId="32" xfId="0" applyFill="1" applyBorder="1" applyAlignment="1" applyProtection="1">
      <alignment vertical="center"/>
    </xf>
    <xf numFmtId="0" fontId="0" fillId="16" borderId="8" xfId="0" applyFill="1" applyBorder="1" applyAlignment="1" applyProtection="1">
      <alignment vertical="center"/>
    </xf>
    <xf numFmtId="0" fontId="0" fillId="16" borderId="21" xfId="0" applyFill="1" applyBorder="1" applyAlignment="1" applyProtection="1">
      <alignment vertical="center"/>
    </xf>
    <xf numFmtId="0" fontId="0" fillId="16" borderId="5" xfId="0" applyFill="1" applyBorder="1" applyAlignment="1" applyProtection="1">
      <alignment vertical="center"/>
    </xf>
    <xf numFmtId="0" fontId="1" fillId="0" borderId="0" xfId="0" applyFont="1" applyAlignment="1" applyProtection="1">
      <alignment vertical="center"/>
    </xf>
    <xf numFmtId="0" fontId="31" fillId="0" borderId="8" xfId="0" applyFont="1" applyBorder="1" applyAlignment="1" applyProtection="1">
      <alignment horizontal="left"/>
    </xf>
    <xf numFmtId="174" fontId="23" fillId="4" borderId="22" xfId="0" applyNumberFormat="1" applyFont="1" applyFill="1" applyBorder="1" applyAlignment="1" applyProtection="1">
      <alignment horizontal="center"/>
    </xf>
    <xf numFmtId="174" fontId="23" fillId="4" borderId="0" xfId="0" applyNumberFormat="1" applyFont="1" applyFill="1" applyBorder="1" applyAlignment="1" applyProtection="1">
      <alignment horizontal="centerContinuous"/>
    </xf>
    <xf numFmtId="174" fontId="23" fillId="4" borderId="4" xfId="0" applyNumberFormat="1" applyFont="1" applyFill="1" applyBorder="1" applyAlignment="1" applyProtection="1">
      <alignment horizontal="centerContinuous"/>
    </xf>
    <xf numFmtId="174" fontId="9" fillId="4" borderId="4" xfId="0" applyNumberFormat="1" applyFont="1" applyFill="1" applyBorder="1" applyAlignment="1" applyProtection="1">
      <alignment horizontal="centerContinuous"/>
    </xf>
    <xf numFmtId="0" fontId="33" fillId="0" borderId="0" xfId="0" applyFont="1" applyAlignment="1" applyProtection="1">
      <alignment vertical="center"/>
    </xf>
    <xf numFmtId="0" fontId="34" fillId="0" borderId="0" xfId="0" applyFont="1" applyAlignment="1">
      <alignment vertical="center"/>
    </xf>
    <xf numFmtId="0" fontId="70" fillId="0" borderId="0" xfId="0" applyFont="1" applyAlignment="1" applyProtection="1">
      <alignment vertical="center"/>
    </xf>
    <xf numFmtId="1" fontId="37" fillId="6" borderId="22" xfId="0" applyNumberFormat="1" applyFont="1" applyFill="1" applyBorder="1" applyAlignment="1" applyProtection="1">
      <alignment horizontal="center"/>
    </xf>
    <xf numFmtId="169" fontId="31" fillId="11" borderId="0" xfId="2" applyNumberFormat="1" applyFont="1" applyFill="1" applyBorder="1" applyAlignment="1" applyProtection="1">
      <alignment horizontal="right"/>
    </xf>
    <xf numFmtId="2" fontId="31" fillId="10" borderId="51" xfId="0" applyNumberFormat="1" applyFont="1" applyFill="1" applyBorder="1" applyAlignment="1" applyProtection="1">
      <alignment horizontal="center"/>
    </xf>
    <xf numFmtId="0" fontId="31" fillId="11" borderId="0" xfId="2" applyNumberFormat="1" applyFont="1" applyFill="1" applyBorder="1" applyAlignment="1" applyProtection="1">
      <alignment horizontal="center"/>
    </xf>
    <xf numFmtId="2" fontId="37" fillId="2" borderId="1" xfId="0" applyNumberFormat="1" applyFont="1" applyFill="1" applyBorder="1" applyAlignment="1" applyProtection="1">
      <alignment horizontal="center"/>
      <protection locked="0"/>
    </xf>
    <xf numFmtId="0" fontId="1" fillId="0" borderId="0" xfId="0" applyFont="1" applyProtection="1"/>
    <xf numFmtId="0" fontId="5" fillId="17" borderId="0" xfId="0" applyFont="1" applyFill="1" applyAlignment="1">
      <alignment vertical="center"/>
    </xf>
    <xf numFmtId="0" fontId="0" fillId="17" borderId="0" xfId="0" applyFill="1" applyAlignment="1">
      <alignment vertical="center"/>
    </xf>
    <xf numFmtId="0" fontId="17" fillId="0" borderId="1" xfId="0" applyFont="1" applyFill="1" applyBorder="1" applyAlignment="1" applyProtection="1">
      <alignment horizontal="center"/>
    </xf>
    <xf numFmtId="0" fontId="29" fillId="18" borderId="13" xfId="0" applyFont="1" applyFill="1" applyBorder="1" applyAlignment="1">
      <alignment vertical="center"/>
    </xf>
    <xf numFmtId="0" fontId="2" fillId="8" borderId="35" xfId="0" applyFont="1" applyFill="1" applyBorder="1" applyAlignment="1" applyProtection="1">
      <alignment horizontal="center" vertical="center" wrapText="1"/>
    </xf>
    <xf numFmtId="0" fontId="71" fillId="0" borderId="13" xfId="0" applyFont="1" applyFill="1" applyBorder="1" applyAlignment="1">
      <alignment horizontal="center"/>
    </xf>
    <xf numFmtId="0" fontId="72" fillId="0" borderId="13" xfId="0" applyFont="1" applyFill="1" applyBorder="1" applyAlignment="1">
      <alignment horizontal="center"/>
    </xf>
    <xf numFmtId="3" fontId="6" fillId="6" borderId="31" xfId="0" applyNumberFormat="1" applyFont="1" applyFill="1" applyBorder="1" applyAlignment="1" applyProtection="1">
      <alignment horizontal="center"/>
    </xf>
    <xf numFmtId="4" fontId="6" fillId="6" borderId="22" xfId="0" applyNumberFormat="1" applyFont="1" applyFill="1" applyBorder="1" applyAlignment="1" applyProtection="1">
      <alignment horizontal="center"/>
    </xf>
    <xf numFmtId="0" fontId="2" fillId="8" borderId="36" xfId="0" applyFont="1" applyFill="1" applyBorder="1" applyAlignment="1" applyProtection="1">
      <alignment vertical="center" wrapText="1"/>
    </xf>
    <xf numFmtId="0" fontId="2" fillId="8" borderId="35" xfId="0" applyFont="1" applyFill="1" applyBorder="1" applyAlignment="1" applyProtection="1">
      <alignment vertical="center"/>
    </xf>
    <xf numFmtId="0" fontId="48" fillId="8" borderId="35" xfId="0" applyFont="1" applyFill="1" applyBorder="1" applyAlignment="1" applyProtection="1">
      <alignment horizontal="left" vertical="center"/>
    </xf>
    <xf numFmtId="0" fontId="2" fillId="8" borderId="36" xfId="0" applyFont="1" applyFill="1" applyBorder="1" applyAlignment="1" applyProtection="1">
      <alignment horizontal="center" vertical="top" wrapText="1"/>
    </xf>
    <xf numFmtId="0" fontId="67" fillId="10" borderId="0" xfId="0" applyFont="1" applyFill="1"/>
    <xf numFmtId="167" fontId="31" fillId="11" borderId="1" xfId="0" applyNumberFormat="1" applyFont="1" applyFill="1" applyBorder="1" applyAlignment="1" applyProtection="1">
      <alignment horizontal="center"/>
      <protection locked="0"/>
    </xf>
    <xf numFmtId="0" fontId="48" fillId="8" borderId="35" xfId="0" applyFont="1" applyFill="1" applyBorder="1" applyAlignment="1" applyProtection="1">
      <alignment vertical="center" wrapText="1"/>
    </xf>
    <xf numFmtId="49" fontId="3" fillId="0" borderId="7" xfId="0" applyNumberFormat="1" applyFont="1" applyFill="1" applyBorder="1" applyAlignment="1">
      <alignment horizontal="left"/>
    </xf>
    <xf numFmtId="0" fontId="3" fillId="0" borderId="0" xfId="0" applyFont="1" applyAlignment="1">
      <alignment horizontal="left" vertical="top" wrapText="1"/>
    </xf>
    <xf numFmtId="0" fontId="53" fillId="12" borderId="9" xfId="0" applyFont="1" applyFill="1" applyBorder="1" applyAlignment="1" applyProtection="1">
      <alignment horizontal="center" vertical="top" wrapText="1"/>
    </xf>
    <xf numFmtId="0" fontId="3" fillId="0" borderId="7" xfId="0" applyFont="1" applyBorder="1" applyAlignment="1">
      <alignment horizontal="left" wrapText="1"/>
    </xf>
    <xf numFmtId="0" fontId="3" fillId="0" borderId="0" xfId="0" applyFont="1" applyBorder="1" applyAlignment="1">
      <alignment horizontal="left" wrapText="1"/>
    </xf>
    <xf numFmtId="0" fontId="3" fillId="0" borderId="4" xfId="0" applyFont="1" applyBorder="1" applyAlignment="1">
      <alignment horizontal="left" wrapText="1"/>
    </xf>
    <xf numFmtId="0" fontId="5" fillId="0" borderId="0" xfId="0" applyFont="1" applyFill="1" applyAlignment="1">
      <alignment horizontal="left" vertical="top" wrapText="1"/>
    </xf>
    <xf numFmtId="0" fontId="1" fillId="12" borderId="8" xfId="0" applyFont="1" applyFill="1" applyBorder="1" applyAlignment="1" applyProtection="1">
      <alignment horizontal="left" wrapText="1"/>
    </xf>
    <xf numFmtId="0" fontId="1" fillId="12" borderId="21" xfId="0" applyFont="1" applyFill="1" applyBorder="1" applyAlignment="1" applyProtection="1">
      <alignment horizontal="left" wrapText="1"/>
    </xf>
    <xf numFmtId="0" fontId="56" fillId="3" borderId="0" xfId="1" applyFont="1" applyFill="1" applyBorder="1" applyAlignment="1" applyProtection="1">
      <alignment horizontal="left" vertical="center"/>
    </xf>
    <xf numFmtId="0" fontId="56" fillId="3" borderId="4" xfId="1" applyFont="1" applyFill="1" applyBorder="1" applyAlignment="1" applyProtection="1">
      <alignment horizontal="left" vertical="center"/>
    </xf>
    <xf numFmtId="0" fontId="56" fillId="3" borderId="21" xfId="1" applyFont="1" applyFill="1" applyBorder="1" applyAlignment="1" applyProtection="1">
      <alignment horizontal="left" vertical="center"/>
    </xf>
    <xf numFmtId="0" fontId="56" fillId="3" borderId="5" xfId="1" applyFont="1" applyFill="1" applyBorder="1" applyAlignment="1" applyProtection="1">
      <alignment horizontal="left" vertical="center"/>
    </xf>
    <xf numFmtId="0" fontId="15" fillId="8" borderId="34" xfId="0" applyFont="1" applyFill="1" applyBorder="1" applyAlignment="1" applyProtection="1">
      <alignment horizontal="left" vertical="center"/>
    </xf>
    <xf numFmtId="0" fontId="15" fillId="8" borderId="35" xfId="0" applyFont="1" applyFill="1" applyBorder="1" applyAlignment="1" applyProtection="1">
      <alignment horizontal="left" vertical="center"/>
    </xf>
    <xf numFmtId="0" fontId="15" fillId="8" borderId="36" xfId="0" applyFont="1" applyFill="1" applyBorder="1" applyAlignment="1" applyProtection="1">
      <alignment horizontal="left" vertical="center"/>
    </xf>
    <xf numFmtId="0" fontId="55"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3" fontId="29" fillId="6" borderId="55" xfId="0" applyNumberFormat="1" applyFont="1" applyFill="1" applyBorder="1" applyAlignment="1" applyProtection="1">
      <alignment horizontal="center" vertical="center"/>
    </xf>
    <xf numFmtId="3" fontId="29" fillId="6" borderId="20" xfId="0" applyNumberFormat="1" applyFont="1" applyFill="1" applyBorder="1" applyAlignment="1" applyProtection="1">
      <alignment horizontal="center" vertical="center"/>
    </xf>
    <xf numFmtId="9" fontId="9" fillId="4" borderId="28" xfId="2" applyFont="1" applyFill="1" applyBorder="1" applyAlignment="1" applyProtection="1">
      <alignment horizontal="center" vertical="center"/>
    </xf>
    <xf numFmtId="9" fontId="9" fillId="4" borderId="4" xfId="2" applyFont="1" applyFill="1" applyBorder="1" applyAlignment="1" applyProtection="1">
      <alignment horizontal="center" vertical="center"/>
    </xf>
    <xf numFmtId="0" fontId="22" fillId="3" borderId="6" xfId="0" applyFont="1" applyFill="1" applyBorder="1" applyAlignment="1" applyProtection="1">
      <alignment horizontal="left"/>
    </xf>
    <xf numFmtId="0" fontId="22" fillId="3" borderId="25" xfId="0" applyFont="1" applyFill="1" applyBorder="1" applyAlignment="1" applyProtection="1">
      <alignment horizontal="left"/>
    </xf>
    <xf numFmtId="0" fontId="22" fillId="3" borderId="18" xfId="0" applyFont="1" applyFill="1" applyBorder="1" applyAlignment="1" applyProtection="1">
      <alignment horizontal="left"/>
    </xf>
    <xf numFmtId="1" fontId="2" fillId="6" borderId="28" xfId="0" applyNumberFormat="1" applyFont="1" applyFill="1" applyBorder="1" applyAlignment="1" applyProtection="1">
      <alignment horizontal="center"/>
    </xf>
    <xf numFmtId="1" fontId="2" fillId="6" borderId="4" xfId="0" applyNumberFormat="1" applyFont="1" applyFill="1" applyBorder="1" applyAlignment="1" applyProtection="1">
      <alignment horizontal="center"/>
    </xf>
    <xf numFmtId="167" fontId="10" fillId="7" borderId="48" xfId="0" applyNumberFormat="1" applyFont="1" applyFill="1" applyBorder="1" applyAlignment="1" applyProtection="1">
      <alignment horizontal="center"/>
      <protection locked="0"/>
    </xf>
    <xf numFmtId="167" fontId="10" fillId="7" borderId="5" xfId="0" applyNumberFormat="1" applyFont="1" applyFill="1" applyBorder="1" applyAlignment="1" applyProtection="1">
      <alignment horizontal="center"/>
      <protection locked="0"/>
    </xf>
    <xf numFmtId="9" fontId="22" fillId="3" borderId="55" xfId="2" applyFont="1" applyFill="1" applyBorder="1" applyAlignment="1" applyProtection="1">
      <alignment horizontal="center"/>
    </xf>
    <xf numFmtId="9" fontId="22" fillId="3" borderId="20" xfId="2" applyFont="1" applyFill="1" applyBorder="1" applyAlignment="1" applyProtection="1">
      <alignment horizontal="center"/>
    </xf>
    <xf numFmtId="14" fontId="30" fillId="0" borderId="14" xfId="0" applyNumberFormat="1" applyFont="1" applyFill="1" applyBorder="1" applyAlignment="1" applyProtection="1">
      <alignment horizontal="center" vertical="center"/>
    </xf>
    <xf numFmtId="14" fontId="30" fillId="0" borderId="15" xfId="0" applyNumberFormat="1" applyFont="1" applyFill="1" applyBorder="1" applyAlignment="1" applyProtection="1">
      <alignment horizontal="center" vertical="center"/>
    </xf>
    <xf numFmtId="0" fontId="23" fillId="6" borderId="7" xfId="0" applyFont="1" applyFill="1" applyBorder="1" applyAlignment="1" applyProtection="1">
      <alignment horizontal="left" wrapText="1"/>
    </xf>
    <xf numFmtId="0" fontId="23" fillId="6" borderId="0" xfId="0" applyFont="1" applyFill="1" applyBorder="1" applyAlignment="1" applyProtection="1">
      <alignment horizontal="left" wrapText="1"/>
    </xf>
    <xf numFmtId="0" fontId="23" fillId="6" borderId="6" xfId="0" applyFont="1" applyFill="1" applyBorder="1" applyAlignment="1" applyProtection="1">
      <alignment horizontal="left" wrapText="1"/>
    </xf>
    <xf numFmtId="0" fontId="23" fillId="6" borderId="25" xfId="0" applyFont="1" applyFill="1" applyBorder="1" applyAlignment="1" applyProtection="1">
      <alignment horizontal="left" wrapText="1"/>
    </xf>
    <xf numFmtId="3" fontId="23" fillId="6" borderId="55" xfId="0" applyNumberFormat="1" applyFont="1" applyFill="1" applyBorder="1" applyAlignment="1" applyProtection="1">
      <alignment horizontal="center"/>
    </xf>
    <xf numFmtId="3" fontId="23" fillId="6" borderId="20" xfId="0" applyNumberFormat="1" applyFont="1" applyFill="1" applyBorder="1" applyAlignment="1" applyProtection="1">
      <alignment horizontal="center"/>
    </xf>
    <xf numFmtId="0" fontId="10" fillId="6" borderId="9" xfId="0" applyFont="1" applyFill="1" applyBorder="1" applyAlignment="1" applyProtection="1">
      <alignment vertical="center"/>
    </xf>
    <xf numFmtId="0" fontId="10" fillId="6" borderId="3" xfId="0" applyFont="1" applyFill="1" applyBorder="1" applyAlignment="1" applyProtection="1">
      <alignment vertical="center"/>
    </xf>
    <xf numFmtId="0" fontId="21" fillId="4" borderId="26" xfId="0" applyFont="1" applyFill="1" applyBorder="1" applyAlignment="1" applyProtection="1">
      <alignment horizontal="center"/>
    </xf>
    <xf numFmtId="0" fontId="21" fillId="4" borderId="23" xfId="0" applyFont="1" applyFill="1" applyBorder="1" applyAlignment="1" applyProtection="1">
      <alignment horizontal="center"/>
    </xf>
    <xf numFmtId="0" fontId="21" fillId="4" borderId="24" xfId="0" applyFont="1" applyFill="1" applyBorder="1" applyAlignment="1" applyProtection="1">
      <alignment horizontal="center"/>
    </xf>
    <xf numFmtId="0" fontId="15" fillId="8" borderId="34" xfId="0" applyFont="1" applyFill="1" applyBorder="1" applyAlignment="1" applyProtection="1">
      <alignment horizontal="center" vertical="center"/>
    </xf>
    <xf numFmtId="0" fontId="15" fillId="8" borderId="35" xfId="0" applyFont="1" applyFill="1" applyBorder="1" applyAlignment="1" applyProtection="1">
      <alignment horizontal="center" vertical="center"/>
    </xf>
    <xf numFmtId="2" fontId="23" fillId="15" borderId="48" xfId="0" applyNumberFormat="1" applyFont="1" applyFill="1" applyBorder="1" applyAlignment="1" applyProtection="1">
      <alignment horizontal="center" vertical="center"/>
    </xf>
    <xf numFmtId="2" fontId="23" fillId="15" borderId="5" xfId="0" applyNumberFormat="1" applyFont="1" applyFill="1" applyBorder="1" applyAlignment="1" applyProtection="1">
      <alignment horizontal="center" vertical="center"/>
    </xf>
    <xf numFmtId="4" fontId="23" fillId="6" borderId="28" xfId="0" applyNumberFormat="1" applyFont="1" applyFill="1" applyBorder="1" applyAlignment="1" applyProtection="1">
      <alignment horizontal="center"/>
    </xf>
    <xf numFmtId="4" fontId="23" fillId="6" borderId="4" xfId="0" applyNumberFormat="1" applyFont="1" applyFill="1" applyBorder="1" applyAlignment="1" applyProtection="1">
      <alignment horizontal="center"/>
    </xf>
    <xf numFmtId="3" fontId="23" fillId="6" borderId="56" xfId="0" applyNumberFormat="1" applyFont="1" applyFill="1" applyBorder="1" applyAlignment="1" applyProtection="1">
      <alignment horizontal="center"/>
    </xf>
    <xf numFmtId="3" fontId="23" fillId="6" borderId="32" xfId="0" applyNumberFormat="1" applyFont="1" applyFill="1" applyBorder="1" applyAlignment="1" applyProtection="1">
      <alignment horizontal="center"/>
    </xf>
    <xf numFmtId="0" fontId="23" fillId="6" borderId="22" xfId="0" applyFont="1" applyFill="1" applyBorder="1" applyAlignment="1" applyProtection="1">
      <alignment horizontal="left" wrapText="1"/>
    </xf>
    <xf numFmtId="0" fontId="20" fillId="6" borderId="37" xfId="0" applyFont="1" applyFill="1" applyBorder="1" applyAlignment="1" applyProtection="1">
      <alignment horizontal="left"/>
    </xf>
    <xf numFmtId="0" fontId="20" fillId="6" borderId="31" xfId="0" applyFont="1" applyFill="1" applyBorder="1" applyAlignment="1" applyProtection="1">
      <alignment horizontal="left"/>
    </xf>
    <xf numFmtId="0" fontId="9" fillId="4" borderId="7"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9" fillId="4" borderId="22" xfId="0" applyFont="1" applyFill="1" applyBorder="1" applyAlignment="1" applyProtection="1">
      <alignment horizontal="left" vertical="center"/>
    </xf>
    <xf numFmtId="1" fontId="23" fillId="15" borderId="28" xfId="0" applyNumberFormat="1" applyFont="1" applyFill="1" applyBorder="1" applyAlignment="1" applyProtection="1">
      <alignment horizontal="center" vertical="center"/>
    </xf>
    <xf numFmtId="1" fontId="23" fillId="15" borderId="4" xfId="0" applyNumberFormat="1" applyFont="1" applyFill="1" applyBorder="1" applyAlignment="1" applyProtection="1">
      <alignment horizontal="center" vertical="center"/>
    </xf>
    <xf numFmtId="0" fontId="23" fillId="6" borderId="30" xfId="0" applyFont="1" applyFill="1" applyBorder="1" applyAlignment="1" applyProtection="1">
      <alignment horizontal="left" wrapText="1"/>
    </xf>
    <xf numFmtId="0" fontId="23" fillId="6" borderId="37" xfId="0" applyFont="1" applyFill="1" applyBorder="1" applyAlignment="1" applyProtection="1">
      <alignment horizontal="left" wrapText="1"/>
    </xf>
    <xf numFmtId="0" fontId="23" fillId="15" borderId="7" xfId="0" applyFont="1" applyFill="1" applyBorder="1" applyAlignment="1" applyProtection="1">
      <alignment horizontal="left" wrapText="1"/>
    </xf>
    <xf numFmtId="0" fontId="23" fillId="15" borderId="0" xfId="0" applyFont="1" applyFill="1" applyBorder="1" applyAlignment="1" applyProtection="1">
      <alignment horizontal="left" wrapText="1"/>
    </xf>
    <xf numFmtId="0" fontId="23" fillId="15" borderId="22" xfId="0" applyFont="1" applyFill="1" applyBorder="1" applyAlignment="1" applyProtection="1">
      <alignment horizontal="left" wrapText="1"/>
    </xf>
    <xf numFmtId="4" fontId="23" fillId="6" borderId="55" xfId="0" applyNumberFormat="1" applyFont="1" applyFill="1" applyBorder="1" applyAlignment="1" applyProtection="1">
      <alignment horizontal="center"/>
    </xf>
    <xf numFmtId="4" fontId="23" fillId="6" borderId="20" xfId="0" applyNumberFormat="1" applyFont="1" applyFill="1" applyBorder="1" applyAlignment="1" applyProtection="1">
      <alignment horizontal="center"/>
    </xf>
    <xf numFmtId="0" fontId="10" fillId="7" borderId="48"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169" fontId="23" fillId="4" borderId="55" xfId="2" applyNumberFormat="1" applyFont="1" applyFill="1" applyBorder="1" applyAlignment="1" applyProtection="1">
      <alignment horizontal="center"/>
    </xf>
    <xf numFmtId="169" fontId="23" fillId="4" borderId="20" xfId="2" applyNumberFormat="1" applyFont="1" applyFill="1" applyBorder="1" applyAlignment="1" applyProtection="1">
      <alignment horizontal="center"/>
    </xf>
    <xf numFmtId="0" fontId="10" fillId="15" borderId="7" xfId="0" applyFont="1" applyFill="1" applyBorder="1" applyAlignment="1" applyProtection="1">
      <alignment horizontal="left" wrapText="1"/>
    </xf>
    <xf numFmtId="0" fontId="10" fillId="15" borderId="0" xfId="0" applyFont="1" applyFill="1" applyBorder="1" applyAlignment="1" applyProtection="1">
      <alignment horizontal="left" wrapText="1"/>
    </xf>
    <xf numFmtId="0" fontId="10" fillId="15" borderId="22" xfId="0" applyFont="1" applyFill="1" applyBorder="1" applyAlignment="1" applyProtection="1">
      <alignment horizontal="left" wrapText="1"/>
    </xf>
    <xf numFmtId="0" fontId="69" fillId="13" borderId="34" xfId="0" applyFont="1" applyFill="1" applyBorder="1" applyAlignment="1" applyProtection="1">
      <alignment horizontal="right" vertical="top" wrapText="1"/>
    </xf>
    <xf numFmtId="0" fontId="69" fillId="13" borderId="35" xfId="0" applyFont="1" applyFill="1" applyBorder="1" applyAlignment="1" applyProtection="1">
      <alignment horizontal="right" vertical="top" wrapText="1"/>
    </xf>
    <xf numFmtId="0" fontId="69" fillId="13" borderId="36" xfId="0" applyFont="1" applyFill="1" applyBorder="1" applyAlignment="1" applyProtection="1">
      <alignment horizontal="right" vertical="top" wrapText="1"/>
    </xf>
    <xf numFmtId="0" fontId="6" fillId="6" borderId="11" xfId="0" applyFont="1" applyFill="1" applyBorder="1" applyAlignment="1" applyProtection="1">
      <alignment horizontal="left"/>
    </xf>
    <xf numFmtId="0" fontId="6" fillId="6" borderId="9" xfId="0" applyFont="1" applyFill="1" applyBorder="1" applyAlignment="1" applyProtection="1">
      <alignment horizontal="left"/>
    </xf>
    <xf numFmtId="0" fontId="6" fillId="6" borderId="10" xfId="0" applyFont="1" applyFill="1" applyBorder="1" applyAlignment="1" applyProtection="1">
      <alignment horizontal="left"/>
    </xf>
    <xf numFmtId="0" fontId="21" fillId="3" borderId="34" xfId="0" applyFont="1" applyFill="1" applyBorder="1" applyAlignment="1" applyProtection="1">
      <alignment horizontal="center"/>
    </xf>
    <xf numFmtId="0" fontId="21" fillId="3" borderId="35" xfId="0" applyFont="1" applyFill="1" applyBorder="1" applyAlignment="1" applyProtection="1">
      <alignment horizontal="center"/>
    </xf>
    <xf numFmtId="0" fontId="21" fillId="3" borderId="36" xfId="0" applyFont="1" applyFill="1" applyBorder="1" applyAlignment="1" applyProtection="1">
      <alignment horizontal="center"/>
    </xf>
    <xf numFmtId="1" fontId="2" fillId="6" borderId="56" xfId="0" applyNumberFormat="1" applyFont="1" applyFill="1" applyBorder="1" applyAlignment="1" applyProtection="1">
      <alignment horizontal="center"/>
    </xf>
    <xf numFmtId="1" fontId="2" fillId="6" borderId="32" xfId="0" applyNumberFormat="1" applyFont="1" applyFill="1" applyBorder="1" applyAlignment="1" applyProtection="1">
      <alignment horizontal="center"/>
    </xf>
    <xf numFmtId="167" fontId="2" fillId="6" borderId="28" xfId="0" applyNumberFormat="1" applyFont="1" applyFill="1" applyBorder="1" applyAlignment="1" applyProtection="1">
      <alignment horizontal="center"/>
    </xf>
    <xf numFmtId="167" fontId="2" fillId="6" borderId="4" xfId="0" applyNumberFormat="1" applyFont="1" applyFill="1" applyBorder="1" applyAlignment="1" applyProtection="1">
      <alignment horizontal="center"/>
    </xf>
    <xf numFmtId="14" fontId="29" fillId="2" borderId="34" xfId="0" applyNumberFormat="1" applyFont="1" applyFill="1" applyBorder="1" applyAlignment="1" applyProtection="1">
      <alignment horizontal="center" vertical="center"/>
      <protection locked="0"/>
    </xf>
    <xf numFmtId="14" fontId="29" fillId="2" borderId="36" xfId="0" applyNumberFormat="1" applyFont="1" applyFill="1" applyBorder="1" applyAlignment="1" applyProtection="1">
      <alignment horizontal="center" vertical="center"/>
      <protection locked="0"/>
    </xf>
    <xf numFmtId="167" fontId="2" fillId="6" borderId="55" xfId="0" applyNumberFormat="1" applyFont="1" applyFill="1" applyBorder="1" applyAlignment="1" applyProtection="1">
      <alignment horizontal="center"/>
    </xf>
    <xf numFmtId="167" fontId="2" fillId="6" borderId="20" xfId="0" applyNumberFormat="1" applyFont="1" applyFill="1" applyBorder="1" applyAlignment="1" applyProtection="1">
      <alignment horizontal="center"/>
    </xf>
    <xf numFmtId="171" fontId="38" fillId="0" borderId="28" xfId="3" applyNumberFormat="1" applyFont="1" applyBorder="1" applyAlignment="1">
      <alignment horizontal="center"/>
    </xf>
    <xf numFmtId="171" fontId="38" fillId="0" borderId="22" xfId="3" applyNumberFormat="1" applyFont="1" applyBorder="1" applyAlignment="1">
      <alignment horizontal="center"/>
    </xf>
    <xf numFmtId="9" fontId="40" fillId="0" borderId="55" xfId="2" applyFont="1" applyBorder="1" applyAlignment="1">
      <alignment horizontal="center"/>
    </xf>
    <xf numFmtId="9" fontId="40" fillId="0" borderId="18" xfId="2" applyFont="1" applyBorder="1" applyAlignment="1">
      <alignment horizontal="center"/>
    </xf>
    <xf numFmtId="171" fontId="40" fillId="0" borderId="58" xfId="3" applyNumberFormat="1" applyFont="1" applyBorder="1" applyAlignment="1">
      <alignment horizontal="center"/>
    </xf>
    <xf numFmtId="171" fontId="40" fillId="0" borderId="59" xfId="3" applyNumberFormat="1" applyFont="1" applyBorder="1" applyAlignment="1">
      <alignment horizontal="center"/>
    </xf>
    <xf numFmtId="169" fontId="41" fillId="0" borderId="48" xfId="2" applyNumberFormat="1" applyFont="1" applyBorder="1" applyAlignment="1">
      <alignment horizontal="center"/>
    </xf>
    <xf numFmtId="169" fontId="41" fillId="0" borderId="5" xfId="2" applyNumberFormat="1" applyFont="1" applyBorder="1" applyAlignment="1">
      <alignment horizontal="center"/>
    </xf>
    <xf numFmtId="171" fontId="41" fillId="0" borderId="28" xfId="3" applyNumberFormat="1" applyFont="1" applyBorder="1" applyAlignment="1">
      <alignment horizontal="center"/>
    </xf>
    <xf numFmtId="171" fontId="41" fillId="0" borderId="4" xfId="3" applyNumberFormat="1" applyFont="1" applyBorder="1" applyAlignment="1">
      <alignment horizontal="center"/>
    </xf>
    <xf numFmtId="167" fontId="41" fillId="0" borderId="55" xfId="3" applyNumberFormat="1" applyFont="1" applyBorder="1" applyAlignment="1">
      <alignment horizontal="center"/>
    </xf>
    <xf numFmtId="167" fontId="41" fillId="0" borderId="20" xfId="3" applyNumberFormat="1" applyFont="1" applyBorder="1" applyAlignment="1">
      <alignment horizontal="center"/>
    </xf>
    <xf numFmtId="170" fontId="41" fillId="0" borderId="28" xfId="3" applyNumberFormat="1" applyFont="1" applyBorder="1" applyAlignment="1">
      <alignment horizontal="center"/>
    </xf>
    <xf numFmtId="170" fontId="41" fillId="0" borderId="4" xfId="3" applyNumberFormat="1" applyFont="1" applyBorder="1" applyAlignment="1">
      <alignment horizontal="center"/>
    </xf>
    <xf numFmtId="9" fontId="41" fillId="0" borderId="55" xfId="2" applyFont="1" applyBorder="1" applyAlignment="1">
      <alignment horizontal="center"/>
    </xf>
    <xf numFmtId="9" fontId="41" fillId="0" borderId="20" xfId="2" applyFont="1" applyBorder="1" applyAlignment="1">
      <alignment horizontal="center"/>
    </xf>
    <xf numFmtId="171" fontId="39" fillId="0" borderId="28" xfId="3" applyNumberFormat="1" applyFont="1" applyBorder="1" applyAlignment="1">
      <alignment horizontal="center"/>
    </xf>
    <xf numFmtId="171" fontId="39" fillId="0" borderId="4" xfId="3" applyNumberFormat="1" applyFont="1" applyBorder="1" applyAlignment="1">
      <alignment horizontal="center"/>
    </xf>
    <xf numFmtId="169" fontId="40" fillId="0" borderId="48" xfId="2" applyNumberFormat="1" applyFont="1" applyBorder="1" applyAlignment="1">
      <alignment horizontal="center"/>
    </xf>
    <xf numFmtId="169" fontId="40" fillId="0" borderId="12" xfId="2" applyNumberFormat="1" applyFont="1" applyBorder="1" applyAlignment="1">
      <alignment horizontal="center"/>
    </xf>
    <xf numFmtId="170" fontId="40" fillId="0" borderId="56" xfId="3" applyNumberFormat="1" applyFont="1" applyBorder="1" applyAlignment="1">
      <alignment horizontal="center"/>
    </xf>
    <xf numFmtId="170" fontId="40" fillId="0" borderId="31" xfId="3" applyNumberFormat="1" applyFont="1" applyBorder="1" applyAlignment="1">
      <alignment horizontal="center"/>
    </xf>
    <xf numFmtId="0" fontId="5" fillId="10" borderId="3" xfId="0" applyFont="1" applyFill="1" applyBorder="1" applyAlignment="1">
      <alignment horizontal="center" vertical="top" wrapText="1"/>
    </xf>
    <xf numFmtId="0" fontId="5" fillId="10" borderId="5" xfId="0" applyFont="1" applyFill="1" applyBorder="1" applyAlignment="1">
      <alignment horizontal="center" vertical="top" wrapText="1"/>
    </xf>
    <xf numFmtId="0" fontId="38" fillId="0" borderId="60" xfId="0" applyFont="1" applyBorder="1" applyAlignment="1">
      <alignment horizontal="center"/>
    </xf>
    <xf numFmtId="0" fontId="38" fillId="0" borderId="27" xfId="0" applyFont="1" applyBorder="1" applyAlignment="1">
      <alignment horizontal="center"/>
    </xf>
    <xf numFmtId="0" fontId="39" fillId="0" borderId="0" xfId="0" applyFont="1" applyAlignment="1">
      <alignment horizontal="left" wrapText="1"/>
    </xf>
    <xf numFmtId="0" fontId="39" fillId="0" borderId="4" xfId="0" applyFont="1" applyBorder="1" applyAlignment="1">
      <alignment horizontal="left" wrapText="1"/>
    </xf>
    <xf numFmtId="0" fontId="41" fillId="0" borderId="37" xfId="0" applyFont="1" applyBorder="1" applyAlignment="1">
      <alignment horizontal="center"/>
    </xf>
    <xf numFmtId="0" fontId="41" fillId="0" borderId="32" xfId="0" applyFont="1" applyBorder="1" applyAlignment="1">
      <alignment horizontal="center"/>
    </xf>
    <xf numFmtId="0" fontId="41" fillId="0" borderId="48" xfId="0" applyFont="1" applyBorder="1" applyAlignment="1">
      <alignment horizontal="center"/>
    </xf>
    <xf numFmtId="0" fontId="41" fillId="0" borderId="5" xfId="0" applyFont="1" applyBorder="1" applyAlignment="1">
      <alignment horizontal="center"/>
    </xf>
    <xf numFmtId="0" fontId="39" fillId="0" borderId="43" xfId="0" applyFont="1" applyBorder="1" applyAlignment="1">
      <alignment horizontal="center"/>
    </xf>
    <xf numFmtId="0" fontId="39" fillId="0" borderId="3" xfId="0" applyFont="1" applyBorder="1" applyAlignment="1">
      <alignment horizontal="center"/>
    </xf>
    <xf numFmtId="2" fontId="41" fillId="0" borderId="57" xfId="0" applyNumberFormat="1" applyFont="1" applyBorder="1" applyAlignment="1">
      <alignment horizontal="center"/>
    </xf>
    <xf numFmtId="2" fontId="41" fillId="0" borderId="50" xfId="0" applyNumberFormat="1" applyFont="1" applyBorder="1" applyAlignment="1">
      <alignment horizontal="center"/>
    </xf>
    <xf numFmtId="0" fontId="48" fillId="10" borderId="11" xfId="0" applyFont="1" applyFill="1" applyBorder="1" applyAlignment="1">
      <alignment horizontal="right" vertical="center"/>
    </xf>
    <xf numFmtId="0" fontId="48" fillId="10" borderId="9" xfId="0" applyFont="1" applyFill="1" applyBorder="1" applyAlignment="1">
      <alignment horizontal="right" vertical="center"/>
    </xf>
    <xf numFmtId="0" fontId="48" fillId="10" borderId="8" xfId="0" applyFont="1" applyFill="1" applyBorder="1" applyAlignment="1">
      <alignment horizontal="right" vertical="center"/>
    </xf>
    <xf numFmtId="0" fontId="48" fillId="10" borderId="21" xfId="0" applyFont="1" applyFill="1" applyBorder="1" applyAlignment="1">
      <alignment horizontal="right" vertical="center"/>
    </xf>
    <xf numFmtId="171" fontId="40" fillId="0" borderId="56" xfId="3" applyNumberFormat="1" applyFont="1" applyBorder="1" applyAlignment="1">
      <alignment horizontal="center"/>
    </xf>
    <xf numFmtId="171" fontId="40" fillId="0" borderId="31" xfId="3" applyNumberFormat="1" applyFont="1" applyBorder="1" applyAlignment="1">
      <alignment horizontal="center"/>
    </xf>
    <xf numFmtId="171" fontId="40" fillId="0" borderId="48" xfId="3" applyNumberFormat="1" applyFont="1" applyBorder="1" applyAlignment="1">
      <alignment horizontal="center"/>
    </xf>
    <xf numFmtId="171" fontId="40" fillId="0" borderId="12" xfId="3" applyNumberFormat="1" applyFont="1" applyBorder="1" applyAlignment="1">
      <alignment horizontal="center"/>
    </xf>
    <xf numFmtId="2" fontId="40" fillId="0" borderId="57" xfId="0" applyNumberFormat="1" applyFont="1" applyBorder="1" applyAlignment="1">
      <alignment horizontal="center"/>
    </xf>
    <xf numFmtId="2" fontId="40" fillId="0" borderId="49" xfId="0" applyNumberFormat="1" applyFont="1" applyBorder="1" applyAlignment="1">
      <alignment horizontal="center"/>
    </xf>
    <xf numFmtId="167" fontId="40" fillId="0" borderId="55" xfId="3" applyNumberFormat="1" applyFont="1" applyBorder="1" applyAlignment="1">
      <alignment horizontal="center"/>
    </xf>
    <xf numFmtId="167" fontId="40" fillId="0" borderId="18" xfId="3" applyNumberFormat="1" applyFont="1" applyBorder="1" applyAlignment="1">
      <alignment horizontal="center"/>
    </xf>
    <xf numFmtId="167" fontId="31" fillId="11" borderId="1" xfId="0" applyNumberFormat="1" applyFont="1" applyFill="1" applyBorder="1" applyAlignment="1" applyProtection="1">
      <alignment horizontal="center"/>
    </xf>
  </cellXfs>
  <cellStyles count="4">
    <cellStyle name="Hyperlink" xfId="1" builtinId="8"/>
    <cellStyle name="Prozent" xfId="2" builtinId="5"/>
    <cellStyle name="Standard" xfId="0" builtinId="0"/>
    <cellStyle name="Währung" xfId="3"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de-DE"/>
              <a:t>Wirtschaftlichkeit der Schweinemast beim Basispreis von </a:t>
            </a:r>
          </a:p>
        </c:rich>
      </c:tx>
      <c:layout>
        <c:manualLayout>
          <c:xMode val="edge"/>
          <c:yMode val="edge"/>
          <c:x val="0.14280058710324117"/>
          <c:y val="1.939693407153311E-2"/>
        </c:manualLayout>
      </c:layout>
      <c:overlay val="0"/>
      <c:spPr>
        <a:noFill/>
        <a:ln w="25400">
          <a:noFill/>
        </a:ln>
      </c:spPr>
    </c:title>
    <c:autoTitleDeleted val="0"/>
    <c:plotArea>
      <c:layout>
        <c:manualLayout>
          <c:layoutTarget val="inner"/>
          <c:xMode val="edge"/>
          <c:yMode val="edge"/>
          <c:x val="8.4210565663579207E-2"/>
          <c:y val="0.27490066579450345"/>
          <c:w val="0.82870852118931349"/>
          <c:h val="0.55577743301932214"/>
        </c:manualLayout>
      </c:layout>
      <c:barChart>
        <c:barDir val="col"/>
        <c:grouping val="clustered"/>
        <c:varyColors val="0"/>
        <c:ser>
          <c:idx val="1"/>
          <c:order val="0"/>
          <c:tx>
            <c:strRef>
              <c:f>' ÖKOZS-Aufzf..-Mast'!$B$158</c:f>
              <c:strCache>
                <c:ptCount val="1"/>
                <c:pt idx="0">
                  <c:v>DB je Mastplatz</c:v>
                </c:pt>
              </c:strCache>
            </c:strRef>
          </c:tx>
          <c:spPr>
            <a:solidFill>
              <a:srgbClr val="33CCCC"/>
            </a:solidFill>
            <a:ln w="12700">
              <a:solidFill>
                <a:srgbClr val="000000"/>
              </a:solidFill>
              <a:prstDash val="solid"/>
            </a:ln>
          </c:spPr>
          <c:invertIfNegative val="0"/>
          <c:dLbls>
            <c:dLbl>
              <c:idx val="0"/>
              <c:layout>
                <c:manualLayout>
                  <c:x val="-4.5721186922012495E-3"/>
                  <c:y val="0.37327794615768112"/>
                </c:manualLayout>
              </c:layout>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dLbl>
            <c:dLbl>
              <c:idx val="1"/>
              <c:layout>
                <c:manualLayout>
                  <c:x val="-1.200031152808727E-7"/>
                  <c:y val="0.41306773388934603"/>
                </c:manualLayout>
              </c:layout>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dLbl>
            <c:dLbl>
              <c:idx val="2"/>
              <c:layout>
                <c:manualLayout>
                  <c:x val="-3.0480791281341665E-3"/>
                  <c:y val="0.44291007468809468"/>
                </c:manualLayout>
              </c:layout>
              <c:numFmt formatCode="#,##0\ &quot;€&quot;" sourceLinked="0"/>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dLbl>
            <c:spPr>
              <a:solidFill>
                <a:srgbClr val="00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de-DE"/>
              </a:p>
            </c:txPr>
            <c:dLblPos val="inEnd"/>
            <c:showLegendKey val="0"/>
            <c:showVal val="1"/>
            <c:showCatName val="0"/>
            <c:showSerName val="0"/>
            <c:showPercent val="0"/>
            <c:showBubbleSize val="0"/>
            <c:showLeaderLines val="0"/>
          </c:dLbls>
          <c:cat>
            <c:strRef>
              <c:f>' ÖKOZS-Aufzf..-Mast'!$F$157:$H$157</c:f>
              <c:strCache>
                <c:ptCount val="3"/>
                <c:pt idx="0">
                  <c:v>niedrig (1:3,5)</c:v>
                </c:pt>
                <c:pt idx="1">
                  <c:v>mittel (1:3,3)</c:v>
                </c:pt>
                <c:pt idx="2">
                  <c:v>hoch (1:3,1)</c:v>
                </c:pt>
              </c:strCache>
            </c:strRef>
          </c:cat>
          <c:val>
            <c:numRef>
              <c:f>' ÖKOZS-Aufzf..-Mast'!$F$158:$H$158</c:f>
              <c:numCache>
                <c:formatCode>0</c:formatCode>
                <c:ptCount val="3"/>
                <c:pt idx="0">
                  <c:v>43.782786092575527</c:v>
                </c:pt>
                <c:pt idx="1">
                  <c:v>66.965844050611096</c:v>
                </c:pt>
                <c:pt idx="2">
                  <c:v>90.148902008646658</c:v>
                </c:pt>
              </c:numCache>
            </c:numRef>
          </c:val>
        </c:ser>
        <c:dLbls>
          <c:showLegendKey val="0"/>
          <c:showVal val="0"/>
          <c:showCatName val="0"/>
          <c:showSerName val="0"/>
          <c:showPercent val="0"/>
          <c:showBubbleSize val="0"/>
        </c:dLbls>
        <c:gapWidth val="150"/>
        <c:axId val="81826176"/>
        <c:axId val="81828096"/>
      </c:barChart>
      <c:lineChart>
        <c:grouping val="standard"/>
        <c:varyColors val="0"/>
        <c:ser>
          <c:idx val="3"/>
          <c:order val="1"/>
          <c:tx>
            <c:v>Verwertung je Akh bei Neubau</c:v>
          </c:tx>
          <c:spPr>
            <a:ln w="12700">
              <a:solidFill>
                <a:srgbClr val="0000FF"/>
              </a:solidFill>
              <a:prstDash val="solid"/>
            </a:ln>
          </c:spPr>
          <c:marker>
            <c:symbol val="star"/>
            <c:size val="5"/>
            <c:spPr>
              <a:solidFill>
                <a:srgbClr val="0000FF"/>
              </a:solidFill>
              <a:ln>
                <a:solidFill>
                  <a:srgbClr val="0000FF"/>
                </a:solidFill>
                <a:prstDash val="solid"/>
              </a:ln>
            </c:spPr>
          </c:marker>
          <c:dLbls>
            <c:dLbl>
              <c:idx val="0"/>
              <c:layout>
                <c:manualLayout>
                  <c:x val="0"/>
                  <c:y val="0"/>
                </c:manualLayout>
              </c:layout>
              <c:dLblPos val="r"/>
              <c:showLegendKey val="0"/>
              <c:showVal val="1"/>
              <c:showCatName val="0"/>
              <c:showSerName val="0"/>
              <c:showPercent val="0"/>
              <c:showBubbleSize val="0"/>
            </c:dLbl>
            <c:numFmt formatCode="#,##0.00\ &quot;€&quot;"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ÖKOZS-Aufzf..-Mast'!$F$157:$H$157</c:f>
              <c:strCache>
                <c:ptCount val="3"/>
                <c:pt idx="0">
                  <c:v>niedrig (1:3,5)</c:v>
                </c:pt>
                <c:pt idx="1">
                  <c:v>mittel (1:3,3)</c:v>
                </c:pt>
                <c:pt idx="2">
                  <c:v>hoch (1:3,1)</c:v>
                </c:pt>
              </c:strCache>
            </c:strRef>
          </c:cat>
          <c:val>
            <c:numRef>
              <c:f>(' ÖKOZS-Aufzf..-Mast'!$F$127,' ÖKOZS-Aufzf..-Mast'!$G$127,' ÖKOZS-Aufzf..-Mast'!$H$127)</c:f>
              <c:numCache>
                <c:formatCode>#,##0.00_ ;[Red]\-#,##0.00\ </c:formatCode>
                <c:ptCount val="3"/>
                <c:pt idx="0">
                  <c:v>-1.0994851590141423</c:v>
                </c:pt>
                <c:pt idx="1">
                  <c:v>7.1801783974271336</c:v>
                </c:pt>
                <c:pt idx="2">
                  <c:v>15.459841953868404</c:v>
                </c:pt>
              </c:numCache>
            </c:numRef>
          </c:val>
          <c:smooth val="0"/>
        </c:ser>
        <c:dLbls>
          <c:showLegendKey val="0"/>
          <c:showVal val="0"/>
          <c:showCatName val="0"/>
          <c:showSerName val="0"/>
          <c:showPercent val="0"/>
          <c:showBubbleSize val="0"/>
        </c:dLbls>
        <c:marker val="1"/>
        <c:smooth val="0"/>
        <c:axId val="81834368"/>
        <c:axId val="81835904"/>
      </c:lineChart>
      <c:catAx>
        <c:axId val="8182617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Leistungsniveau (nach Futterverwertung)</a:t>
                </a:r>
              </a:p>
            </c:rich>
          </c:tx>
          <c:layout>
            <c:manualLayout>
              <c:xMode val="edge"/>
              <c:yMode val="edge"/>
              <c:x val="0.27913984647041434"/>
              <c:y val="0.9143434495873688"/>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81828096"/>
        <c:crosses val="autoZero"/>
        <c:auto val="0"/>
        <c:lblAlgn val="ctr"/>
        <c:lblOffset val="100"/>
        <c:tickLblSkip val="1"/>
        <c:tickMarkSkip val="1"/>
        <c:noMultiLvlLbl val="0"/>
      </c:catAx>
      <c:valAx>
        <c:axId val="81828096"/>
        <c:scaling>
          <c:orientation val="minMax"/>
        </c:scaling>
        <c:delete val="0"/>
        <c:axPos val="l"/>
        <c:title>
          <c:tx>
            <c:rich>
              <a:bodyPr rot="0" vert="horz"/>
              <a:lstStyle/>
              <a:p>
                <a:pPr algn="ctr">
                  <a:defRPr sz="1400" b="1" i="0" u="none" strike="noStrike" baseline="0">
                    <a:solidFill>
                      <a:srgbClr val="000000"/>
                    </a:solidFill>
                    <a:latin typeface="Arial"/>
                    <a:ea typeface="Arial"/>
                    <a:cs typeface="Arial"/>
                  </a:defRPr>
                </a:pPr>
                <a:r>
                  <a:rPr lang="de-DE"/>
                  <a:t>DB je
Mastplatz</a:t>
                </a:r>
              </a:p>
            </c:rich>
          </c:tx>
          <c:layout>
            <c:manualLayout>
              <c:xMode val="edge"/>
              <c:yMode val="edge"/>
              <c:x val="1.3397147789956626E-2"/>
              <c:y val="0.13745048347520383"/>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de-DE"/>
          </a:p>
        </c:txPr>
        <c:crossAx val="81826176"/>
        <c:crosses val="autoZero"/>
        <c:crossBetween val="between"/>
      </c:valAx>
      <c:catAx>
        <c:axId val="81834368"/>
        <c:scaling>
          <c:orientation val="minMax"/>
        </c:scaling>
        <c:delete val="1"/>
        <c:axPos val="b"/>
        <c:majorTickMark val="out"/>
        <c:minorTickMark val="none"/>
        <c:tickLblPos val="nextTo"/>
        <c:crossAx val="81835904"/>
        <c:crosses val="autoZero"/>
        <c:auto val="0"/>
        <c:lblAlgn val="ctr"/>
        <c:lblOffset val="100"/>
        <c:noMultiLvlLbl val="0"/>
      </c:catAx>
      <c:valAx>
        <c:axId val="81835904"/>
        <c:scaling>
          <c:orientation val="minMax"/>
        </c:scaling>
        <c:delete val="0"/>
        <c:axPos val="r"/>
        <c:title>
          <c:tx>
            <c:rich>
              <a:bodyPr rot="0" vert="horz"/>
              <a:lstStyle/>
              <a:p>
                <a:pPr algn="ctr">
                  <a:defRPr sz="1400" b="1" i="0" u="none" strike="noStrike" baseline="0">
                    <a:solidFill>
                      <a:srgbClr val="000000"/>
                    </a:solidFill>
                    <a:latin typeface="Arial"/>
                    <a:ea typeface="Arial"/>
                    <a:cs typeface="Arial"/>
                  </a:defRPr>
                </a:pPr>
                <a:r>
                  <a:rPr lang="de-DE"/>
                  <a:t>Entlohnung
 je AKh</a:t>
                </a:r>
              </a:p>
            </c:rich>
          </c:tx>
          <c:layout>
            <c:manualLayout>
              <c:xMode val="edge"/>
              <c:yMode val="edge"/>
              <c:x val="0.86602912211601024"/>
              <c:y val="0.15334851036982181"/>
            </c:manualLayout>
          </c:layout>
          <c:overlay val="0"/>
          <c:spPr>
            <a:noFill/>
            <a:ln w="25400">
              <a:noFill/>
            </a:ln>
          </c:spPr>
        </c:title>
        <c:numFmt formatCode="#,##0\ \€;[Red]#,##0\ \€" sourceLinked="0"/>
        <c:majorTickMark val="cross"/>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de-DE"/>
          </a:p>
        </c:txPr>
        <c:crossAx val="81834368"/>
        <c:crosses val="max"/>
        <c:crossBetween val="between"/>
      </c:valAx>
      <c:spPr>
        <a:solidFill>
          <a:srgbClr val="FFFFC0"/>
        </a:solidFill>
        <a:ln w="12700">
          <a:solidFill>
            <a:srgbClr val="808080"/>
          </a:solidFill>
          <a:prstDash val="solid"/>
        </a:ln>
      </c:spPr>
    </c:plotArea>
    <c:legend>
      <c:legendPos val="r"/>
      <c:layout>
        <c:manualLayout>
          <c:xMode val="edge"/>
          <c:yMode val="edge"/>
          <c:x val="0.21105547900023483"/>
          <c:y val="0.16994685135111889"/>
          <c:w val="0.5335013296945188"/>
          <c:h val="9.48123181005672E-2"/>
        </c:manualLayout>
      </c:layout>
      <c:overlay val="0"/>
      <c:spPr>
        <a:solidFill>
          <a:srgbClr val="FFFF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350" b="1" i="0" u="none" strike="noStrike" kern="1200" baseline="0">
                <a:solidFill>
                  <a:srgbClr val="000000"/>
                </a:solidFill>
                <a:latin typeface="Arial"/>
                <a:ea typeface="Arial"/>
                <a:cs typeface="Arial"/>
              </a:defRPr>
            </a:pPr>
            <a:r>
              <a:rPr lang="de-DE" sz="1350" b="1" i="0" u="none" strike="noStrike" kern="1200" baseline="0">
                <a:solidFill>
                  <a:srgbClr val="000000"/>
                </a:solidFill>
                <a:latin typeface="Arial"/>
                <a:ea typeface="Arial"/>
                <a:cs typeface="Arial"/>
              </a:rPr>
              <a:t>Wirtschaftlichkeit der Ferkelproduktion</a:t>
            </a:r>
          </a:p>
          <a:p>
            <a:pPr algn="ctr" rtl="0">
              <a:defRPr lang="de-DE" sz="1350" b="1" i="0" u="none" strike="noStrike" kern="1200" baseline="0">
                <a:solidFill>
                  <a:srgbClr val="000000"/>
                </a:solidFill>
                <a:latin typeface="Arial"/>
                <a:ea typeface="Arial"/>
                <a:cs typeface="Arial"/>
              </a:defRPr>
            </a:pPr>
            <a:endParaRPr lang="de-DE" sz="1350" b="1" i="0" u="none" strike="noStrike" kern="1200" baseline="0">
              <a:solidFill>
                <a:srgbClr val="000000"/>
              </a:solidFill>
              <a:latin typeface="Arial"/>
              <a:ea typeface="Arial"/>
              <a:cs typeface="Arial"/>
            </a:endParaRPr>
          </a:p>
        </c:rich>
      </c:tx>
      <c:layout>
        <c:manualLayout>
          <c:xMode val="edge"/>
          <c:yMode val="edge"/>
          <c:x val="0.11567168486641916"/>
          <c:y val="1.3157969141858667E-2"/>
        </c:manualLayout>
      </c:layout>
      <c:overlay val="0"/>
      <c:spPr>
        <a:noFill/>
        <a:ln w="25400">
          <a:noFill/>
        </a:ln>
      </c:spPr>
    </c:title>
    <c:autoTitleDeleted val="0"/>
    <c:plotArea>
      <c:layout>
        <c:manualLayout>
          <c:layoutTarget val="inner"/>
          <c:xMode val="edge"/>
          <c:yMode val="edge"/>
          <c:x val="0.14365671641791045"/>
          <c:y val="0.24436112653563216"/>
          <c:w val="0.71828358208955223"/>
          <c:h val="0.60902311536572939"/>
        </c:manualLayout>
      </c:layout>
      <c:barChart>
        <c:barDir val="col"/>
        <c:grouping val="clustered"/>
        <c:varyColors val="0"/>
        <c:ser>
          <c:idx val="1"/>
          <c:order val="0"/>
          <c:tx>
            <c:strRef>
              <c:f>' ÖKOZS-Aufzf..-Mast'!$B$143</c:f>
              <c:strCache>
                <c:ptCount val="1"/>
                <c:pt idx="0">
                  <c:v>DB je Zuchtsau</c:v>
                </c:pt>
              </c:strCache>
            </c:strRef>
          </c:tx>
          <c:spPr>
            <a:solidFill>
              <a:srgbClr val="33CCCC"/>
            </a:solidFill>
            <a:ln w="12700">
              <a:solidFill>
                <a:srgbClr val="000000"/>
              </a:solidFill>
              <a:prstDash val="solid"/>
            </a:ln>
          </c:spPr>
          <c:invertIfNegative val="0"/>
          <c:dLbls>
            <c:numFmt formatCode="#,##0\ &quot;€&quot;" sourceLinked="0"/>
            <c:spPr>
              <a:solidFill>
                <a:srgbClr val="00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numRef>
              <c:f>' ÖKOZS-Aufzf..-Mast'!$F$41:$I$41</c:f>
              <c:numCache>
                <c:formatCode>0.0</c:formatCode>
                <c:ptCount val="4"/>
                <c:pt idx="0">
                  <c:v>16</c:v>
                </c:pt>
                <c:pt idx="1">
                  <c:v>19</c:v>
                </c:pt>
                <c:pt idx="2">
                  <c:v>22</c:v>
                </c:pt>
              </c:numCache>
            </c:numRef>
          </c:cat>
          <c:val>
            <c:numRef>
              <c:f>' ÖKOZS-Aufzf..-Mast'!$F$143:$H$143</c:f>
              <c:numCache>
                <c:formatCode>#,##0</c:formatCode>
                <c:ptCount val="3"/>
                <c:pt idx="0">
                  <c:v>905.49130853921588</c:v>
                </c:pt>
                <c:pt idx="1">
                  <c:v>1270.5943085392155</c:v>
                </c:pt>
                <c:pt idx="2">
                  <c:v>1635.6973085392156</c:v>
                </c:pt>
              </c:numCache>
            </c:numRef>
          </c:val>
        </c:ser>
        <c:dLbls>
          <c:showLegendKey val="0"/>
          <c:showVal val="0"/>
          <c:showCatName val="0"/>
          <c:showSerName val="0"/>
          <c:showPercent val="0"/>
          <c:showBubbleSize val="0"/>
        </c:dLbls>
        <c:gapWidth val="100"/>
        <c:axId val="82915328"/>
        <c:axId val="82917248"/>
      </c:barChart>
      <c:lineChart>
        <c:grouping val="standard"/>
        <c:varyColors val="0"/>
        <c:ser>
          <c:idx val="0"/>
          <c:order val="1"/>
          <c:tx>
            <c:v>Verwertung je Akh bei Neubau</c:v>
          </c:tx>
          <c:spPr>
            <a:ln w="12700">
              <a:solidFill>
                <a:srgbClr val="000080"/>
              </a:solidFill>
              <a:prstDash val="solid"/>
            </a:ln>
          </c:spPr>
          <c:marker>
            <c:symbol val="star"/>
            <c:size val="5"/>
            <c:spPr>
              <a:solidFill>
                <a:srgbClr val="000080"/>
              </a:solidFill>
              <a:ln>
                <a:solidFill>
                  <a:srgbClr val="000080"/>
                </a:solidFill>
                <a:prstDash val="solid"/>
              </a:ln>
            </c:spPr>
          </c:marker>
          <c:dLbls>
            <c:numFmt formatCode="#,##0.00\ &quot;€&quot;" sourceLinked="0"/>
            <c:spPr>
              <a:noFill/>
              <a:ln w="25400">
                <a:noFill/>
              </a:ln>
            </c:spPr>
            <c:txPr>
              <a:bodyPr/>
              <a:lstStyle/>
              <a:p>
                <a:pPr>
                  <a:defRPr sz="1200" b="1"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cat>
            <c:numRef>
              <c:f>' ÖKOZS-Aufzf..-Mast'!$F$41:$I$41</c:f>
              <c:numCache>
                <c:formatCode>0.0</c:formatCode>
                <c:ptCount val="4"/>
                <c:pt idx="0">
                  <c:v>16</c:v>
                </c:pt>
                <c:pt idx="1">
                  <c:v>19</c:v>
                </c:pt>
                <c:pt idx="2">
                  <c:v>22</c:v>
                </c:pt>
              </c:numCache>
            </c:numRef>
          </c:cat>
          <c:val>
            <c:numRef>
              <c:f>(' ÖKOZS-Aufzf..-Mast'!$F$64,' ÖKOZS-Aufzf..-Mast'!$G$64,' ÖKOZS-Aufzf..-Mast'!$H$64)</c:f>
              <c:numCache>
                <c:formatCode>#,##0.00_ ;[Red]\-#,##0.00\ </c:formatCode>
                <c:ptCount val="3"/>
                <c:pt idx="0">
                  <c:v>16.436320898201021</c:v>
                </c:pt>
                <c:pt idx="1">
                  <c:v>28.308952405050324</c:v>
                </c:pt>
                <c:pt idx="2">
                  <c:v>40.181583911899637</c:v>
                </c:pt>
              </c:numCache>
            </c:numRef>
          </c:val>
          <c:smooth val="0"/>
        </c:ser>
        <c:dLbls>
          <c:showLegendKey val="0"/>
          <c:showVal val="0"/>
          <c:showCatName val="0"/>
          <c:showSerName val="0"/>
          <c:showPercent val="0"/>
          <c:showBubbleSize val="0"/>
        </c:dLbls>
        <c:marker val="1"/>
        <c:smooth val="0"/>
        <c:axId val="82927616"/>
        <c:axId val="82929152"/>
      </c:lineChart>
      <c:catAx>
        <c:axId val="8291532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Zahl der verkauften Ferkel/Sau</a:t>
                </a:r>
              </a:p>
            </c:rich>
          </c:tx>
          <c:layout>
            <c:manualLayout>
              <c:xMode val="edge"/>
              <c:yMode val="edge"/>
              <c:x val="0.15990328846166793"/>
              <c:y val="0.93557437026942203"/>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82917248"/>
        <c:crosses val="autoZero"/>
        <c:auto val="0"/>
        <c:lblAlgn val="ctr"/>
        <c:lblOffset val="100"/>
        <c:tickLblSkip val="1"/>
        <c:tickMarkSkip val="1"/>
        <c:noMultiLvlLbl val="0"/>
      </c:catAx>
      <c:valAx>
        <c:axId val="82917248"/>
        <c:scaling>
          <c:orientation val="minMax"/>
        </c:scaling>
        <c:delete val="0"/>
        <c:axPos val="l"/>
        <c:title>
          <c:tx>
            <c:rich>
              <a:bodyPr rot="0" vert="horz"/>
              <a:lstStyle/>
              <a:p>
                <a:pPr algn="ctr">
                  <a:defRPr sz="1100" b="1" i="0" u="none" strike="noStrike" baseline="0">
                    <a:solidFill>
                      <a:srgbClr val="000000"/>
                    </a:solidFill>
                    <a:latin typeface="Arial"/>
                    <a:ea typeface="Arial"/>
                    <a:cs typeface="Arial"/>
                  </a:defRPr>
                </a:pPr>
                <a:r>
                  <a:rPr lang="de-DE"/>
                  <a:t>DB je Sau</a:t>
                </a:r>
              </a:p>
            </c:rich>
          </c:tx>
          <c:layout>
            <c:manualLayout>
              <c:xMode val="edge"/>
              <c:yMode val="edge"/>
              <c:x val="9.3284353856676831E-3"/>
              <c:y val="9.7744307755815218E-2"/>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2915328"/>
        <c:crosses val="autoZero"/>
        <c:crossBetween val="between"/>
      </c:valAx>
      <c:catAx>
        <c:axId val="82927616"/>
        <c:scaling>
          <c:orientation val="minMax"/>
        </c:scaling>
        <c:delete val="1"/>
        <c:axPos val="b"/>
        <c:numFmt formatCode="0.0" sourceLinked="1"/>
        <c:majorTickMark val="out"/>
        <c:minorTickMark val="none"/>
        <c:tickLblPos val="nextTo"/>
        <c:crossAx val="82929152"/>
        <c:crosses val="autoZero"/>
        <c:auto val="0"/>
        <c:lblAlgn val="ctr"/>
        <c:lblOffset val="100"/>
        <c:noMultiLvlLbl val="0"/>
      </c:catAx>
      <c:valAx>
        <c:axId val="82929152"/>
        <c:scaling>
          <c:orientation val="minMax"/>
        </c:scaling>
        <c:delete val="0"/>
        <c:axPos val="r"/>
        <c:title>
          <c:tx>
            <c:rich>
              <a:bodyPr rot="0" vert="horz"/>
              <a:lstStyle/>
              <a:p>
                <a:pPr algn="ctr">
                  <a:defRPr sz="1100" b="1" i="0" u="none" strike="noStrike" baseline="0">
                    <a:solidFill>
                      <a:srgbClr val="000000"/>
                    </a:solidFill>
                    <a:latin typeface="Arial"/>
                    <a:ea typeface="Arial"/>
                    <a:cs typeface="Arial"/>
                  </a:defRPr>
                </a:pPr>
                <a:r>
                  <a:rPr lang="de-DE"/>
                  <a:t>Ent- lohnung               je AKh</a:t>
                </a:r>
              </a:p>
            </c:rich>
          </c:tx>
          <c:layout>
            <c:manualLayout>
              <c:xMode val="edge"/>
              <c:yMode val="edge"/>
              <c:x val="0.84008035725451968"/>
              <c:y val="9.8435369148832899E-2"/>
            </c:manualLayout>
          </c:layout>
          <c:overlay val="0"/>
          <c:spPr>
            <a:noFill/>
            <a:ln w="25400">
              <a:noFill/>
            </a:ln>
          </c:spPr>
        </c:title>
        <c:numFmt formatCode="#,##0\ \€;[Red]\-#,##0\ \€"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82927616"/>
        <c:crosses val="max"/>
        <c:crossBetween val="between"/>
      </c:valAx>
      <c:spPr>
        <a:solidFill>
          <a:srgbClr val="FFFFC0"/>
        </a:solidFill>
        <a:ln w="12700">
          <a:solidFill>
            <a:srgbClr val="808080"/>
          </a:solidFill>
          <a:prstDash val="solid"/>
        </a:ln>
      </c:spPr>
    </c:plotArea>
    <c:legend>
      <c:legendPos val="r"/>
      <c:layout>
        <c:manualLayout>
          <c:xMode val="edge"/>
          <c:yMode val="edge"/>
          <c:x val="0.21009073741465709"/>
          <c:y val="0.12737630401611988"/>
          <c:w val="0.53431513550486143"/>
          <c:h val="0.10409556957312999"/>
        </c:manualLayout>
      </c:layout>
      <c:overlay val="0"/>
      <c:spPr>
        <a:solidFill>
          <a:srgbClr val="FFFFC0"/>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de-DE"/>
              <a:t>Erforderlicher Ferkelpreis 28 kg (o. Mwst) zur Abdeckung aller Kosten bei  Neubau</a:t>
            </a:r>
          </a:p>
        </c:rich>
      </c:tx>
      <c:layout>
        <c:manualLayout>
          <c:xMode val="edge"/>
          <c:yMode val="edge"/>
          <c:x val="8.6014134747725013E-2"/>
          <c:y val="1.1981453260575387E-2"/>
        </c:manualLayout>
      </c:layout>
      <c:overlay val="0"/>
      <c:spPr>
        <a:noFill/>
        <a:ln w="25400">
          <a:noFill/>
        </a:ln>
      </c:spPr>
    </c:title>
    <c:autoTitleDeleted val="0"/>
    <c:plotArea>
      <c:layout>
        <c:manualLayout>
          <c:layoutTarget val="inner"/>
          <c:xMode val="edge"/>
          <c:yMode val="edge"/>
          <c:x val="0.11706371888896425"/>
          <c:y val="0.1564066939870068"/>
          <c:w val="0.85119212548077394"/>
          <c:h val="0.69133834409472672"/>
        </c:manualLayout>
      </c:layout>
      <c:barChart>
        <c:barDir val="col"/>
        <c:grouping val="clustered"/>
        <c:varyColors val="0"/>
        <c:ser>
          <c:idx val="0"/>
          <c:order val="0"/>
          <c:tx>
            <c:strRef>
              <c:f>' ÖKOZS-Aufzf..-Mast'!$B$70</c:f>
              <c:strCache>
                <c:ptCount val="1"/>
                <c:pt idx="0">
                  <c:v>Erforderlicher Ferkelpreis 28 kg (o. Mwst)</c:v>
                </c:pt>
              </c:strCache>
            </c:strRef>
          </c:tx>
          <c:spPr>
            <a:solidFill>
              <a:srgbClr val="8080FF"/>
            </a:solidFill>
            <a:ln w="12700">
              <a:solidFill>
                <a:srgbClr val="000000"/>
              </a:solidFill>
              <a:prstDash val="solid"/>
            </a:ln>
          </c:spPr>
          <c:invertIfNegative val="0"/>
          <c:dLbls>
            <c:numFmt formatCode="#,##0\ \€" sourceLinked="0"/>
            <c:spPr>
              <a:solidFill>
                <a:srgbClr val="FFFFC0"/>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 ÖKOZS-Aufzf..-Mast'!$F$41:$H$41</c:f>
              <c:numCache>
                <c:formatCode>0.0</c:formatCode>
                <c:ptCount val="3"/>
                <c:pt idx="0">
                  <c:v>16</c:v>
                </c:pt>
                <c:pt idx="1">
                  <c:v>19</c:v>
                </c:pt>
                <c:pt idx="2">
                  <c:v>22</c:v>
                </c:pt>
              </c:numCache>
            </c:numRef>
          </c:cat>
          <c:val>
            <c:numRef>
              <c:f>' ÖKOZS-Aufzf..-Mast'!$F$71:$H$71</c:f>
              <c:numCache>
                <c:formatCode>#,##0</c:formatCode>
                <c:ptCount val="3"/>
                <c:pt idx="0">
                  <c:v>139.18189831587307</c:v>
                </c:pt>
                <c:pt idx="1">
                  <c:v>120.56481199202581</c:v>
                </c:pt>
                <c:pt idx="2">
                  <c:v>107.02511284740959</c:v>
                </c:pt>
              </c:numCache>
            </c:numRef>
          </c:val>
        </c:ser>
        <c:dLbls>
          <c:showLegendKey val="0"/>
          <c:showVal val="0"/>
          <c:showCatName val="0"/>
          <c:showSerName val="0"/>
          <c:showPercent val="0"/>
          <c:showBubbleSize val="0"/>
        </c:dLbls>
        <c:gapWidth val="150"/>
        <c:axId val="84020224"/>
        <c:axId val="84022400"/>
      </c:barChart>
      <c:catAx>
        <c:axId val="84020224"/>
        <c:scaling>
          <c:orientation val="minMax"/>
        </c:scaling>
        <c:delete val="0"/>
        <c:axPos val="b"/>
        <c:title>
          <c:tx>
            <c:rich>
              <a:bodyPr/>
              <a:lstStyle/>
              <a:p>
                <a:pPr algn="ctr" rtl="0">
                  <a:defRPr lang="de-DE" sz="1400" b="1" i="0" u="none" strike="noStrike" kern="1200" baseline="0">
                    <a:solidFill>
                      <a:srgbClr val="000000"/>
                    </a:solidFill>
                    <a:latin typeface="Arial"/>
                    <a:ea typeface="Arial"/>
                    <a:cs typeface="Arial"/>
                  </a:defRPr>
                </a:pPr>
                <a:r>
                  <a:rPr lang="de-DE" sz="1400" b="1" i="0" u="none" strike="noStrike" kern="1200" baseline="0">
                    <a:solidFill>
                      <a:srgbClr val="000000"/>
                    </a:solidFill>
                    <a:latin typeface="Arial"/>
                    <a:ea typeface="Arial"/>
                    <a:cs typeface="Arial"/>
                  </a:rPr>
                  <a:t>Verkaufte Ferkel je Sau</a:t>
                </a:r>
              </a:p>
            </c:rich>
          </c:tx>
          <c:layout>
            <c:manualLayout>
              <c:xMode val="edge"/>
              <c:yMode val="edge"/>
              <c:x val="0.2496063038538506"/>
              <c:y val="0.9296053468484345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350" b="1" i="0" u="none" strike="noStrike" baseline="0">
                <a:solidFill>
                  <a:srgbClr val="000000"/>
                </a:solidFill>
                <a:latin typeface="Arial"/>
                <a:ea typeface="Arial"/>
                <a:cs typeface="Arial"/>
              </a:defRPr>
            </a:pPr>
            <a:endParaRPr lang="de-DE"/>
          </a:p>
        </c:txPr>
        <c:crossAx val="84022400"/>
        <c:crosses val="autoZero"/>
        <c:auto val="1"/>
        <c:lblAlgn val="ctr"/>
        <c:lblOffset val="100"/>
        <c:tickLblSkip val="1"/>
        <c:tickMarkSkip val="1"/>
        <c:noMultiLvlLbl val="0"/>
      </c:catAx>
      <c:valAx>
        <c:axId val="84022400"/>
        <c:scaling>
          <c:orientation val="minMax"/>
        </c:scaling>
        <c:delete val="0"/>
        <c:axPos val="l"/>
        <c:majorGridlines>
          <c:spPr>
            <a:ln w="3175">
              <a:solidFill>
                <a:srgbClr val="000000"/>
              </a:solidFill>
              <a:prstDash val="solid"/>
            </a:ln>
          </c:spPr>
        </c:majorGridlines>
        <c:numFmt formatCode="#,##0\ \€;[Red]\-#,##0\ \€"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84020224"/>
        <c:crosses val="autoZero"/>
        <c:crossBetween val="between"/>
      </c:valAx>
      <c:spPr>
        <a:solidFill>
          <a:srgbClr val="FFFFC0"/>
        </a:solidFill>
        <a:ln w="12700">
          <a:solidFill>
            <a:srgbClr val="808080"/>
          </a:solidFill>
          <a:prstDash val="solid"/>
        </a:ln>
      </c:spPr>
    </c:plotArea>
    <c:plotVisOnly val="1"/>
    <c:dispBlanksAs val="gap"/>
    <c:showDLblsOverMax val="0"/>
  </c:chart>
  <c:spPr>
    <a:solidFill>
      <a:srgbClr val="FFFF99"/>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0" b="1" i="0" u="none" strike="noStrike" baseline="0">
                <a:solidFill>
                  <a:srgbClr val="000000"/>
                </a:solidFill>
                <a:latin typeface="Arial"/>
                <a:ea typeface="Arial"/>
                <a:cs typeface="Arial"/>
              </a:defRPr>
            </a:pPr>
            <a:r>
              <a:rPr lang="de-DE" sz="2250"/>
              <a:t>Kostenstruktur Ferkelerzeugung</a:t>
            </a:r>
          </a:p>
        </c:rich>
      </c:tx>
      <c:layout>
        <c:manualLayout>
          <c:xMode val="edge"/>
          <c:yMode val="edge"/>
          <c:x val="2.5672465332818646E-2"/>
          <c:y val="2.9030535445986834E-2"/>
        </c:manualLayout>
      </c:layout>
      <c:overlay val="0"/>
      <c:spPr>
        <a:noFill/>
        <a:ln w="25400">
          <a:noFill/>
        </a:ln>
      </c:spPr>
    </c:title>
    <c:autoTitleDeleted val="0"/>
    <c:plotArea>
      <c:layout>
        <c:manualLayout>
          <c:layoutTarget val="inner"/>
          <c:xMode val="edge"/>
          <c:yMode val="edge"/>
          <c:x val="0.30047860929958942"/>
          <c:y val="0.22665006226650061"/>
          <c:w val="0.44401934622614486"/>
          <c:h val="0.57783312577833124"/>
        </c:manualLayout>
      </c:layout>
      <c:pieChart>
        <c:varyColors val="1"/>
        <c:ser>
          <c:idx val="0"/>
          <c:order val="0"/>
          <c:spPr>
            <a:ln w="12700">
              <a:solidFill>
                <a:srgbClr val="000000"/>
              </a:solidFill>
              <a:prstDash val="solid"/>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Lbls>
            <c:dLbl>
              <c:idx val="0"/>
              <c:layout>
                <c:manualLayout>
                  <c:x val="-5.620176612404925E-2"/>
                  <c:y val="-1.2577566006126997E-2"/>
                </c:manualLayout>
              </c:layout>
              <c:dLblPos val="bestFit"/>
              <c:showLegendKey val="0"/>
              <c:showVal val="0"/>
              <c:showCatName val="1"/>
              <c:showSerName val="0"/>
              <c:showPercent val="1"/>
              <c:showBubbleSize val="0"/>
            </c:dLbl>
            <c:dLbl>
              <c:idx val="1"/>
              <c:layout>
                <c:manualLayout>
                  <c:x val="6.8927637787598417E-2"/>
                  <c:y val="3.6755866288818444E-3"/>
                </c:manualLayout>
              </c:layout>
              <c:dLblPos val="bestFit"/>
              <c:showLegendKey val="0"/>
              <c:showVal val="0"/>
              <c:showCatName val="1"/>
              <c:showSerName val="0"/>
              <c:showPercent val="1"/>
              <c:showBubbleSize val="0"/>
            </c:dLbl>
            <c:dLbl>
              <c:idx val="2"/>
              <c:layout>
                <c:manualLayout>
                  <c:x val="0.22870453339124025"/>
                  <c:y val="-2.8047767032837831E-2"/>
                </c:manualLayout>
              </c:layout>
              <c:dLblPos val="bestFit"/>
              <c:showLegendKey val="0"/>
              <c:showVal val="0"/>
              <c:showCatName val="1"/>
              <c:showSerName val="0"/>
              <c:showPercent val="1"/>
              <c:showBubbleSize val="0"/>
            </c:dLbl>
            <c:dLbl>
              <c:idx val="3"/>
              <c:layout>
                <c:manualLayout>
                  <c:x val="0.1740420733733391"/>
                  <c:y val="8.7726273916695394E-2"/>
                </c:manualLayout>
              </c:layout>
              <c:dLblPos val="bestFit"/>
              <c:showLegendKey val="0"/>
              <c:showVal val="0"/>
              <c:showCatName val="1"/>
              <c:showSerName val="0"/>
              <c:showPercent val="1"/>
              <c:showBubbleSize val="0"/>
            </c:dLbl>
            <c:dLbl>
              <c:idx val="4"/>
              <c:layout>
                <c:manualLayout>
                  <c:x val="2.0264440474819938E-2"/>
                  <c:y val="0.11547494030011606"/>
                </c:manualLayout>
              </c:layout>
              <c:dLblPos val="bestFit"/>
              <c:showLegendKey val="0"/>
              <c:showVal val="0"/>
              <c:showCatName val="1"/>
              <c:showSerName val="0"/>
              <c:showPercent val="1"/>
              <c:showBubbleSize val="0"/>
            </c:dLbl>
            <c:dLbl>
              <c:idx val="5"/>
              <c:layout>
                <c:manualLayout>
                  <c:x val="-6.77421165892656E-2"/>
                  <c:y val="0.11661492355915054"/>
                </c:manualLayout>
              </c:layout>
              <c:dLblPos val="bestFit"/>
              <c:showLegendKey val="0"/>
              <c:showVal val="0"/>
              <c:showCatName val="1"/>
              <c:showSerName val="0"/>
              <c:showPercent val="1"/>
              <c:showBubbleSize val="0"/>
            </c:dLbl>
            <c:dLbl>
              <c:idx val="6"/>
              <c:layout>
                <c:manualLayout>
                  <c:x val="-0.2021224296813029"/>
                  <c:y val="0.13573857825506311"/>
                </c:manualLayout>
              </c:layout>
              <c:dLblPos val="bestFit"/>
              <c:showLegendKey val="0"/>
              <c:showVal val="0"/>
              <c:showCatName val="1"/>
              <c:showSerName val="0"/>
              <c:showPercent val="1"/>
              <c:showBubbleSize val="0"/>
            </c:dLbl>
            <c:dLbl>
              <c:idx val="7"/>
              <c:layout>
                <c:manualLayout>
                  <c:x val="-0.22983955423507055"/>
                  <c:y val="9.1141019820104224E-2"/>
                </c:manualLayout>
              </c:layout>
              <c:dLblPos val="bestFit"/>
              <c:showLegendKey val="0"/>
              <c:showVal val="0"/>
              <c:showCatName val="1"/>
              <c:showSerName val="0"/>
              <c:showPercent val="1"/>
              <c:showBubbleSize val="0"/>
            </c:dLbl>
            <c:dLbl>
              <c:idx val="8"/>
              <c:layout>
                <c:manualLayout>
                  <c:x val="-0.24226345428901749"/>
                  <c:y val="-2.5538973742157651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de-DE"/>
                </a:p>
              </c:txPr>
              <c:dLblPos val="bestFit"/>
              <c:showLegendKey val="0"/>
              <c:showVal val="0"/>
              <c:showCatName val="1"/>
              <c:showSerName val="0"/>
              <c:showPercent val="1"/>
              <c:showBubbleSize val="0"/>
            </c:dLbl>
            <c:dLbl>
              <c:idx val="9"/>
              <c:layout>
                <c:manualLayout>
                  <c:x val="-0.14444442485103623"/>
                  <c:y val="-0.29272618929917993"/>
                </c:manualLayout>
              </c:layout>
              <c:dLblPos val="bestFit"/>
              <c:showLegendKey val="0"/>
              <c:showVal val="0"/>
              <c:showCatName val="1"/>
              <c:showSerName val="0"/>
              <c:showPercent val="1"/>
              <c:showBubbleSize val="0"/>
            </c:dLbl>
            <c:dLbl>
              <c:idx val="10"/>
              <c:layout>
                <c:manualLayout>
                  <c:x val="-0.18969859536819009"/>
                  <c:y val="-0.11967685908370863"/>
                </c:manualLayout>
              </c:layout>
              <c:showLegendKey val="0"/>
              <c:showVal val="0"/>
              <c:showCatName val="1"/>
              <c:showSerName val="0"/>
              <c:showPercent val="1"/>
              <c:showBubbleSize val="0"/>
            </c:dLbl>
            <c:dLbl>
              <c:idx val="11"/>
              <c:layout>
                <c:manualLayout>
                  <c:x val="-0.19755633430686742"/>
                  <c:y val="-0.18165940902220198"/>
                </c:manualLayout>
              </c:layout>
              <c:dLblPos val="bestFit"/>
              <c:showLegendKey val="0"/>
              <c:showVal val="0"/>
              <c:showCatName val="1"/>
              <c:showSerName val="0"/>
              <c:showPercent val="1"/>
              <c:showBubbleSize val="0"/>
            </c:dLbl>
            <c:dLbl>
              <c:idx val="12"/>
              <c:layout>
                <c:manualLayout>
                  <c:x val="-9.7567155248163104E-2"/>
                  <c:y val="-0.24467104926200228"/>
                </c:manualLayout>
              </c:layout>
              <c:dLblPos val="bestFit"/>
              <c:showLegendKey val="0"/>
              <c:showVal val="0"/>
              <c:showCatName val="1"/>
              <c:showSerName val="0"/>
              <c:showPercent val="1"/>
              <c:showBubbleSize val="0"/>
            </c:dLbl>
            <c:dLbl>
              <c:idx val="13"/>
              <c:layout>
                <c:manualLayout>
                  <c:x val="2.1851112174284559E-3"/>
                  <c:y val="-1.799751844728683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de-DE"/>
              </a:p>
            </c:txPr>
            <c:showLegendKey val="0"/>
            <c:showVal val="0"/>
            <c:showCatName val="1"/>
            <c:showSerName val="0"/>
            <c:showPercent val="1"/>
            <c:showBubbleSize val="0"/>
            <c:showLeaderLines val="1"/>
          </c:dLbls>
          <c:cat>
            <c:strRef>
              <c:f>' ÖKOZS-Aufzf..-Mast'!$K$24:$K$37</c:f>
              <c:strCache>
                <c:ptCount val="14"/>
                <c:pt idx="0">
                  <c:v>Bestandsergänzung</c:v>
                </c:pt>
                <c:pt idx="1">
                  <c:v>Futter</c:v>
                </c:pt>
                <c:pt idx="2">
                  <c:v>    Tierarzt, Medikamente (inkl. Myko)</c:v>
                </c:pt>
                <c:pt idx="3">
                  <c:v>    Verluste, Versicherungen</c:v>
                </c:pt>
                <c:pt idx="4">
                  <c:v>    Besamung</c:v>
                </c:pt>
                <c:pt idx="5">
                  <c:v>    Energie, Wasser</c:v>
                </c:pt>
                <c:pt idx="6">
                  <c:v>    Einstreu</c:v>
                </c:pt>
                <c:pt idx="7">
                  <c:v>    var. Masch.kost. inkl. Mistausbr.</c:v>
                </c:pt>
                <c:pt idx="8">
                  <c:v>    Beratung, Kontrolle</c:v>
                </c:pt>
                <c:pt idx="9">
                  <c:v>    Sonstiges Material</c:v>
                </c:pt>
                <c:pt idx="10">
                  <c:v>Zinsansatz Vieh- und Umlaufverm.</c:v>
                </c:pt>
                <c:pt idx="11">
                  <c:v>Gemeinkosten</c:v>
                </c:pt>
                <c:pt idx="12">
                  <c:v>Arbeit</c:v>
                </c:pt>
                <c:pt idx="13">
                  <c:v>Stall</c:v>
                </c:pt>
              </c:strCache>
            </c:strRef>
          </c:cat>
          <c:val>
            <c:numRef>
              <c:f>' ÖKOZS-Aufzf..-Mast'!$O$24:$O$37</c:f>
              <c:numCache>
                <c:formatCode>0.00</c:formatCode>
                <c:ptCount val="14"/>
                <c:pt idx="0">
                  <c:v>9.5516569200779724</c:v>
                </c:pt>
                <c:pt idx="1">
                  <c:v>64.248999999999995</c:v>
                </c:pt>
                <c:pt idx="2">
                  <c:v>7.1578947368421053</c:v>
                </c:pt>
                <c:pt idx="3">
                  <c:v>1.2105263157894737</c:v>
                </c:pt>
                <c:pt idx="4">
                  <c:v>1.8421052631578947</c:v>
                </c:pt>
                <c:pt idx="5">
                  <c:v>5.2631578947368425</c:v>
                </c:pt>
                <c:pt idx="6">
                  <c:v>6.8421052631578947</c:v>
                </c:pt>
                <c:pt idx="7">
                  <c:v>1.5789473684210527</c:v>
                </c:pt>
                <c:pt idx="8">
                  <c:v>0.52631578947368418</c:v>
                </c:pt>
                <c:pt idx="9">
                  <c:v>1.0526315789473684</c:v>
                </c:pt>
                <c:pt idx="10">
                  <c:v>0.77658224978335355</c:v>
                </c:pt>
                <c:pt idx="11">
                  <c:v>1.0526315789473684</c:v>
                </c:pt>
                <c:pt idx="12">
                  <c:v>25.263157894736842</c:v>
                </c:pt>
                <c:pt idx="13">
                  <c:v>21.290474405191059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0" b="1" i="0" u="none" strike="noStrike" baseline="0">
                <a:solidFill>
                  <a:srgbClr val="000000"/>
                </a:solidFill>
                <a:latin typeface="Arial"/>
                <a:ea typeface="Arial"/>
                <a:cs typeface="Arial"/>
              </a:defRPr>
            </a:pPr>
            <a:r>
              <a:rPr lang="de-DE"/>
              <a:t>Kostenstruktur Schweinemast</a:t>
            </a:r>
          </a:p>
        </c:rich>
      </c:tx>
      <c:layout>
        <c:manualLayout>
          <c:xMode val="edge"/>
          <c:yMode val="edge"/>
          <c:x val="3.174329778185736E-2"/>
          <c:y val="1.5189764083512143E-2"/>
        </c:manualLayout>
      </c:layout>
      <c:overlay val="0"/>
      <c:spPr>
        <a:noFill/>
        <a:ln w="25400">
          <a:noFill/>
        </a:ln>
      </c:spPr>
    </c:title>
    <c:autoTitleDeleted val="0"/>
    <c:plotArea>
      <c:layout>
        <c:manualLayout>
          <c:layoutTarget val="inner"/>
          <c:xMode val="edge"/>
          <c:yMode val="edge"/>
          <c:x val="0.36363373810116434"/>
          <c:y val="0.29048668184164983"/>
          <c:w val="0.45306555789926617"/>
          <c:h val="0.59873454727956099"/>
        </c:manualLayout>
      </c:layout>
      <c:pieChart>
        <c:varyColors val="1"/>
        <c:ser>
          <c:idx val="0"/>
          <c:order val="0"/>
          <c:spPr>
            <a:ln w="12700">
              <a:solidFill>
                <a:srgbClr val="000000"/>
              </a:solidFill>
              <a:prstDash val="solid"/>
            </a:ln>
          </c:spPr>
          <c:dPt>
            <c:idx val="0"/>
            <c:bubble3D val="0"/>
            <c:spPr>
              <a:solidFill>
                <a:srgbClr val="8080FF"/>
              </a:solidFill>
              <a:ln w="12700">
                <a:solidFill>
                  <a:srgbClr val="000000"/>
                </a:solidFill>
                <a:prstDash val="solid"/>
              </a:ln>
            </c:spPr>
          </c:dPt>
          <c:dPt>
            <c:idx val="1"/>
            <c:bubble3D val="0"/>
            <c:spPr>
              <a:solidFill>
                <a:srgbClr val="802060"/>
              </a:solidFill>
              <a:ln w="12700">
                <a:solidFill>
                  <a:srgbClr val="000000"/>
                </a:solidFill>
                <a:prstDash val="solid"/>
              </a:ln>
            </c:spPr>
          </c:dPt>
          <c:dPt>
            <c:idx val="2"/>
            <c:bubble3D val="0"/>
            <c:spPr>
              <a:solidFill>
                <a:srgbClr val="FFFFC0"/>
              </a:solidFill>
              <a:ln w="12700">
                <a:solidFill>
                  <a:srgbClr val="000000"/>
                </a:solidFill>
                <a:prstDash val="solid"/>
              </a:ln>
            </c:spPr>
          </c:dPt>
          <c:dPt>
            <c:idx val="3"/>
            <c:bubble3D val="0"/>
            <c:spPr>
              <a:solidFill>
                <a:srgbClr val="A0E0E0"/>
              </a:solidFill>
              <a:ln w="12700">
                <a:solidFill>
                  <a:srgbClr val="000000"/>
                </a:solidFill>
                <a:prstDash val="solid"/>
              </a:ln>
            </c:spPr>
          </c:dPt>
          <c:dPt>
            <c:idx val="4"/>
            <c:bubble3D val="0"/>
            <c:spPr>
              <a:solidFill>
                <a:srgbClr val="600080"/>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80C0"/>
              </a:solidFill>
              <a:ln w="12700">
                <a:solidFill>
                  <a:srgbClr val="000000"/>
                </a:solidFill>
                <a:prstDash val="solid"/>
              </a:ln>
            </c:spPr>
          </c:dPt>
          <c:dPt>
            <c:idx val="7"/>
            <c:bubble3D val="0"/>
            <c:spPr>
              <a:solidFill>
                <a:srgbClr val="C0C0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7.5698336025255926E-3"/>
                  <c:y val="-0.1020188101487314"/>
                </c:manualLayout>
              </c:layout>
              <c:dLblPos val="bestFit"/>
              <c:showLegendKey val="0"/>
              <c:showVal val="0"/>
              <c:showCatName val="1"/>
              <c:showSerName val="0"/>
              <c:showPercent val="1"/>
              <c:showBubbleSize val="0"/>
            </c:dLbl>
            <c:dLbl>
              <c:idx val="1"/>
              <c:layout>
                <c:manualLayout>
                  <c:x val="-9.1059531505933433E-2"/>
                  <c:y val="-3.8410906969962091E-2"/>
                </c:manualLayout>
              </c:layout>
              <c:dLblPos val="bestFit"/>
              <c:showLegendKey val="0"/>
              <c:showVal val="0"/>
              <c:showCatName val="1"/>
              <c:showSerName val="0"/>
              <c:showPercent val="1"/>
              <c:showBubbleSize val="0"/>
            </c:dLbl>
            <c:dLbl>
              <c:idx val="2"/>
              <c:layout>
                <c:manualLayout>
                  <c:x val="-0.12453143947687542"/>
                  <c:y val="0.25648976660129752"/>
                </c:manualLayout>
              </c:layout>
              <c:dLblPos val="bestFit"/>
              <c:showLegendKey val="0"/>
              <c:showVal val="0"/>
              <c:showCatName val="1"/>
              <c:showSerName val="0"/>
              <c:showPercent val="1"/>
              <c:showBubbleSize val="0"/>
            </c:dLbl>
            <c:dLbl>
              <c:idx val="3"/>
              <c:layout>
                <c:manualLayout>
                  <c:x val="-0.14958330877151615"/>
                  <c:y val="0.1488455254757915"/>
                </c:manualLayout>
              </c:layout>
              <c:dLblPos val="bestFit"/>
              <c:showLegendKey val="0"/>
              <c:showVal val="0"/>
              <c:showCatName val="1"/>
              <c:showSerName val="0"/>
              <c:showPercent val="1"/>
              <c:showBubbleSize val="0"/>
            </c:dLbl>
            <c:dLbl>
              <c:idx val="4"/>
              <c:layout>
                <c:manualLayout>
                  <c:x val="-0.18337321997002054"/>
                  <c:y val="8.1315025303742822E-2"/>
                </c:manualLayout>
              </c:layout>
              <c:dLblPos val="bestFit"/>
              <c:showLegendKey val="0"/>
              <c:showVal val="0"/>
              <c:showCatName val="1"/>
              <c:showSerName val="0"/>
              <c:showPercent val="1"/>
              <c:showBubbleSize val="0"/>
            </c:dLbl>
            <c:dLbl>
              <c:idx val="5"/>
              <c:layout>
                <c:manualLayout>
                  <c:x val="-0.11674959788796443"/>
                  <c:y val="2.2653598894412475E-2"/>
                </c:manualLayout>
              </c:layout>
              <c:dLblPos val="bestFit"/>
              <c:showLegendKey val="0"/>
              <c:showVal val="0"/>
              <c:showCatName val="1"/>
              <c:showSerName val="0"/>
              <c:showPercent val="1"/>
              <c:showBubbleSize val="0"/>
            </c:dLbl>
            <c:dLbl>
              <c:idx val="6"/>
              <c:layout>
                <c:manualLayout>
                  <c:x val="-0.21383636461245664"/>
                  <c:y val="-1.8376336174700733E-2"/>
                </c:manualLayout>
              </c:layout>
              <c:dLblPos val="bestFit"/>
              <c:showLegendKey val="0"/>
              <c:showVal val="0"/>
              <c:showCatName val="1"/>
              <c:showSerName val="0"/>
              <c:showPercent val="1"/>
              <c:showBubbleSize val="0"/>
            </c:dLbl>
            <c:dLbl>
              <c:idx val="7"/>
              <c:layout>
                <c:manualLayout>
                  <c:x val="-0.25215858898676186"/>
                  <c:y val="-0.10079551526477311"/>
                </c:manualLayout>
              </c:layout>
              <c:dLblPos val="bestFit"/>
              <c:showLegendKey val="0"/>
              <c:showVal val="0"/>
              <c:showCatName val="1"/>
              <c:showSerName val="0"/>
              <c:showPercent val="1"/>
              <c:showBubbleSize val="0"/>
            </c:dLbl>
            <c:dLbl>
              <c:idx val="8"/>
              <c:layout>
                <c:manualLayout>
                  <c:x val="-0.22870045080093701"/>
                  <c:y val="-0.18942957130358706"/>
                </c:manualLayout>
              </c:layout>
              <c:dLblPos val="bestFit"/>
              <c:showLegendKey val="0"/>
              <c:showVal val="0"/>
              <c:showCatName val="1"/>
              <c:showSerName val="0"/>
              <c:showPercent val="1"/>
              <c:showBubbleSize val="0"/>
            </c:dLbl>
            <c:dLbl>
              <c:idx val="9"/>
              <c:layout>
                <c:manualLayout>
                  <c:x val="-0.12789877335241834"/>
                  <c:y val="-0.19302857976086324"/>
                </c:manualLayout>
              </c:layout>
              <c:numFmt formatCode="General" sourceLinked="0"/>
              <c:spPr/>
              <c:txPr>
                <a:bodyPr/>
                <a:lstStyle/>
                <a:p>
                  <a:pPr algn="ctr" rtl="0">
                    <a:defRPr lang="en-US" sz="1200" b="0" i="0" u="none" strike="noStrike" kern="1200" baseline="0">
                      <a:solidFill>
                        <a:srgbClr val="000000"/>
                      </a:solidFill>
                      <a:latin typeface="Arial"/>
                      <a:ea typeface="Arial"/>
                      <a:cs typeface="Arial"/>
                    </a:defRPr>
                  </a:pPr>
                  <a:endParaRPr lang="de-DE"/>
                </a:p>
              </c:txPr>
              <c:dLblPos val="bestFit"/>
              <c:showLegendKey val="0"/>
              <c:showVal val="0"/>
              <c:showCatName val="1"/>
              <c:showSerName val="0"/>
              <c:showPercent val="1"/>
              <c:showBubbleSize val="0"/>
            </c:dLbl>
            <c:dLbl>
              <c:idx val="10"/>
              <c:layout>
                <c:manualLayout>
                  <c:x val="1.4782091066796914E-2"/>
                  <c:y val="-0.16767069185944045"/>
                </c:manualLayout>
              </c:layout>
              <c:numFmt formatCode="0.0%" sourceLinked="0"/>
              <c:spPr>
                <a:noFill/>
                <a:ln w="25400">
                  <a:noFill/>
                </a:ln>
              </c:spPr>
              <c:txPr>
                <a:bodyPr/>
                <a:lstStyle/>
                <a:p>
                  <a:pPr algn="ctr" rtl="0">
                    <a:defRPr lang="en-US" sz="1200" b="0" i="0" u="none" strike="noStrike" kern="1200" baseline="0">
                      <a:solidFill>
                        <a:srgbClr val="000000"/>
                      </a:solidFill>
                      <a:latin typeface="Arial"/>
                      <a:ea typeface="Arial"/>
                      <a:cs typeface="Arial"/>
                    </a:defRPr>
                  </a:pPr>
                  <a:endParaRPr lang="de-DE"/>
                </a:p>
              </c:txPr>
              <c:dLblPos val="bestFit"/>
              <c:showLegendKey val="0"/>
              <c:showVal val="0"/>
              <c:showCatName val="1"/>
              <c:showSerName val="0"/>
              <c:showPercent val="1"/>
              <c:showBubbleSize val="0"/>
            </c:dLbl>
            <c:dLbl>
              <c:idx val="11"/>
              <c:layout>
                <c:manualLayout>
                  <c:x val="4.1392670823929667E-2"/>
                  <c:y val="-6.0442409856290409E-2"/>
                </c:manualLayout>
              </c:layout>
              <c:dLblPos val="bestFit"/>
              <c:showLegendKey val="0"/>
              <c:showVal val="0"/>
              <c:showCatName val="1"/>
              <c:showSerName val="0"/>
              <c:showPercent val="1"/>
              <c:showBubbleSize val="0"/>
            </c:dLbl>
            <c:dLbl>
              <c:idx val="12"/>
              <c:layout>
                <c:manualLayout>
                  <c:x val="0.13165827003402161"/>
                  <c:y val="-0.16173099141994701"/>
                </c:manualLayout>
              </c:layout>
              <c:dLblPos val="bestFit"/>
              <c:showLegendKey val="0"/>
              <c:showVal val="0"/>
              <c:showCatName val="1"/>
              <c:showSerName val="0"/>
              <c:showPercent val="1"/>
              <c:showBubbleSize val="0"/>
            </c:dLbl>
            <c:dLbl>
              <c:idx val="13"/>
              <c:layout>
                <c:manualLayout>
                  <c:x val="0.16352262248627344"/>
                  <c:y val="-0.11035330823008083"/>
                </c:manualLayout>
              </c:layout>
              <c:dLblPos val="bestFit"/>
              <c:showLegendKey val="0"/>
              <c:showVal val="0"/>
              <c:showCatName val="1"/>
              <c:showSerName val="0"/>
              <c:showPercent val="1"/>
              <c:showBubbleSize val="0"/>
            </c:dLbl>
            <c:dLbl>
              <c:idx val="14"/>
              <c:layout>
                <c:manualLayout>
                  <c:x val="0.19265995532556338"/>
                  <c:y val="-6.6844403662538437E-2"/>
                </c:manualLayout>
              </c:layout>
              <c:showLegendKey val="0"/>
              <c:showVal val="0"/>
              <c:showCatName val="1"/>
              <c:showSerName val="0"/>
              <c:showPercent val="1"/>
              <c:showBubbleSize val="0"/>
            </c:dLbl>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de-DE"/>
              </a:p>
            </c:txPr>
            <c:showLegendKey val="0"/>
            <c:showVal val="0"/>
            <c:showCatName val="1"/>
            <c:showSerName val="0"/>
            <c:showPercent val="1"/>
            <c:showBubbleSize val="0"/>
            <c:showLeaderLines val="1"/>
          </c:dLbls>
          <c:cat>
            <c:strRef>
              <c:f>' ÖKOZS-Aufzf..-Mast'!$K$88:$K$100</c:f>
              <c:strCache>
                <c:ptCount val="13"/>
                <c:pt idx="0">
                  <c:v>Ferkel</c:v>
                </c:pt>
                <c:pt idx="1">
                  <c:v>Futter</c:v>
                </c:pt>
                <c:pt idx="2">
                  <c:v>    Tierarzt, Medikamente</c:v>
                </c:pt>
                <c:pt idx="3">
                  <c:v>    Verluste, Versicherungen</c:v>
                </c:pt>
                <c:pt idx="4">
                  <c:v>    Energie, Wasser</c:v>
                </c:pt>
                <c:pt idx="5">
                  <c:v>    Einstreu</c:v>
                </c:pt>
                <c:pt idx="6">
                  <c:v>    var. Masch.kost. inkl. Mistausbr.</c:v>
                </c:pt>
                <c:pt idx="7">
                  <c:v>    Beratung, Kontrolle</c:v>
                </c:pt>
                <c:pt idx="8">
                  <c:v>Zinsansatz Umlaufvermögen</c:v>
                </c:pt>
                <c:pt idx="9">
                  <c:v>Vermarktung</c:v>
                </c:pt>
                <c:pt idx="10">
                  <c:v>Gemeinkosten je Mastplatz</c:v>
                </c:pt>
                <c:pt idx="11">
                  <c:v>Stall</c:v>
                </c:pt>
                <c:pt idx="12">
                  <c:v>Arbeit</c:v>
                </c:pt>
              </c:strCache>
            </c:strRef>
          </c:cat>
          <c:val>
            <c:numRef>
              <c:f>' ÖKOZS-Aufzf..-Mast'!$O$88:$O$100</c:f>
              <c:numCache>
                <c:formatCode>0.00</c:formatCode>
                <c:ptCount val="13"/>
                <c:pt idx="0">
                  <c:v>151</c:v>
                </c:pt>
                <c:pt idx="1">
                  <c:v>162.814388185654</c:v>
                </c:pt>
                <c:pt idx="2">
                  <c:v>1.5</c:v>
                </c:pt>
                <c:pt idx="3">
                  <c:v>4</c:v>
                </c:pt>
                <c:pt idx="4">
                  <c:v>5</c:v>
                </c:pt>
                <c:pt idx="5">
                  <c:v>8</c:v>
                </c:pt>
                <c:pt idx="6">
                  <c:v>7</c:v>
                </c:pt>
                <c:pt idx="7">
                  <c:v>1</c:v>
                </c:pt>
                <c:pt idx="8">
                  <c:v>1.5650797531056082</c:v>
                </c:pt>
                <c:pt idx="9">
                  <c:v>7</c:v>
                </c:pt>
                <c:pt idx="10">
                  <c:v>3.3613445378151261</c:v>
                </c:pt>
                <c:pt idx="11">
                  <c:v>17.310109242240337</c:v>
                </c:pt>
                <c:pt idx="12">
                  <c:v>17.82742285177855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 Arbeit und Kapital in Ferkelerzeugung und Mast</a:t>
            </a:r>
          </a:p>
        </c:rich>
      </c:tx>
      <c:layout>
        <c:manualLayout>
          <c:xMode val="edge"/>
          <c:yMode val="edge"/>
          <c:x val="0.18716213826717731"/>
          <c:y val="3.6459656945595817E-2"/>
        </c:manualLayout>
      </c:layout>
      <c:overlay val="0"/>
      <c:spPr>
        <a:noFill/>
        <a:ln w="25400">
          <a:noFill/>
        </a:ln>
      </c:spPr>
    </c:title>
    <c:autoTitleDeleted val="0"/>
    <c:plotArea>
      <c:layout>
        <c:manualLayout>
          <c:layoutTarget val="inner"/>
          <c:xMode val="edge"/>
          <c:yMode val="edge"/>
          <c:x val="7.8870534090557914E-2"/>
          <c:y val="0.28804398784955959"/>
          <c:w val="0.83349601458663669"/>
          <c:h val="0.53804443013408298"/>
        </c:manualLayout>
      </c:layout>
      <c:barChart>
        <c:barDir val="col"/>
        <c:grouping val="clustered"/>
        <c:varyColors val="0"/>
        <c:ser>
          <c:idx val="1"/>
          <c:order val="0"/>
          <c:tx>
            <c:v>Arbeitseinkommen/Std. Ferkelerzeugung</c:v>
          </c:tx>
          <c:spPr>
            <a:solidFill>
              <a:srgbClr val="FF8080"/>
            </a:solidFill>
            <a:ln w="12700">
              <a:solidFill>
                <a:srgbClr val="000000"/>
              </a:solidFill>
              <a:prstDash val="solid"/>
            </a:ln>
          </c:spPr>
          <c:invertIfNegative val="0"/>
          <c:dLbls>
            <c:numFmt formatCode="#,##0.00\ \€" sourceLinked="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showLeaderLines val="0"/>
          </c:dLbls>
          <c:cat>
            <c:strRef>
              <c:f>' ÖKOZS-Aufzf..-Mast'!$F$141:$H$141</c:f>
              <c:strCache>
                <c:ptCount val="3"/>
                <c:pt idx="0">
                  <c:v>niedrig</c:v>
                </c:pt>
                <c:pt idx="1">
                  <c:v>mittel</c:v>
                </c:pt>
                <c:pt idx="2">
                  <c:v>hoch</c:v>
                </c:pt>
              </c:strCache>
            </c:strRef>
          </c:cat>
          <c:val>
            <c:numRef>
              <c:f>' ÖKOZS-Aufzf..-Mast'!$F$154:$H$154</c:f>
              <c:numCache>
                <c:formatCode>#,##0.00</c:formatCode>
                <c:ptCount val="3"/>
                <c:pt idx="0">
                  <c:v>16.436320898201021</c:v>
                </c:pt>
                <c:pt idx="1">
                  <c:v>28.308952405050324</c:v>
                </c:pt>
                <c:pt idx="2">
                  <c:v>40.181583911899637</c:v>
                </c:pt>
              </c:numCache>
            </c:numRef>
          </c:val>
        </c:ser>
        <c:ser>
          <c:idx val="2"/>
          <c:order val="2"/>
          <c:tx>
            <c:v>Arbeitseinkommen/Std. Mast</c:v>
          </c:tx>
          <c:spPr>
            <a:solidFill>
              <a:srgbClr val="69FFFF"/>
            </a:solidFill>
            <a:ln w="12700">
              <a:solidFill>
                <a:srgbClr val="000000"/>
              </a:solidFill>
              <a:prstDash val="solid"/>
            </a:ln>
          </c:spPr>
          <c:invertIfNegative val="0"/>
          <c:dLbls>
            <c:numFmt formatCode="#,##0.00\ \€" sourceLinked="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dLblPos val="inBase"/>
            <c:showLegendKey val="0"/>
            <c:showVal val="1"/>
            <c:showCatName val="0"/>
            <c:showSerName val="0"/>
            <c:showPercent val="0"/>
            <c:showBubbleSize val="0"/>
            <c:showLeaderLines val="0"/>
          </c:dLbls>
          <c:cat>
            <c:strRef>
              <c:f>' ÖKOZS-Aufzf..-Mast'!$F$141:$H$141</c:f>
              <c:strCache>
                <c:ptCount val="3"/>
                <c:pt idx="0">
                  <c:v>niedrig</c:v>
                </c:pt>
                <c:pt idx="1">
                  <c:v>mittel</c:v>
                </c:pt>
                <c:pt idx="2">
                  <c:v>hoch</c:v>
                </c:pt>
              </c:strCache>
            </c:strRef>
          </c:cat>
          <c:val>
            <c:numRef>
              <c:f>(' ÖKOZS-Aufzf..-Mast'!$F$166,' ÖKOZS-Aufzf..-Mast'!$G$166:$H$166)</c:f>
              <c:numCache>
                <c:formatCode>#,##0</c:formatCode>
                <c:ptCount val="3"/>
                <c:pt idx="0">
                  <c:v>-1.0994851590141423</c:v>
                </c:pt>
                <c:pt idx="1">
                  <c:v>7.1801783974271336</c:v>
                </c:pt>
                <c:pt idx="2">
                  <c:v>15.459841953868404</c:v>
                </c:pt>
              </c:numCache>
            </c:numRef>
          </c:val>
        </c:ser>
        <c:dLbls>
          <c:showLegendKey val="0"/>
          <c:showVal val="0"/>
          <c:showCatName val="0"/>
          <c:showSerName val="0"/>
          <c:showPercent val="0"/>
          <c:showBubbleSize val="0"/>
        </c:dLbls>
        <c:gapWidth val="150"/>
        <c:axId val="81411456"/>
        <c:axId val="81421824"/>
      </c:barChart>
      <c:lineChart>
        <c:grouping val="standard"/>
        <c:varyColors val="0"/>
        <c:ser>
          <c:idx val="0"/>
          <c:order val="1"/>
          <c:tx>
            <c:v>Kapitalverzinsung Ferkelerzeugung</c:v>
          </c:tx>
          <c:spPr>
            <a:ln w="38100">
              <a:solidFill>
                <a:srgbClr val="FF0000"/>
              </a:solidFill>
              <a:prstDash val="solid"/>
            </a:ln>
          </c:spPr>
          <c:marker>
            <c:symbol val="diamond"/>
            <c:size val="9"/>
            <c:spPr>
              <a:solidFill>
                <a:srgbClr val="FF0000"/>
              </a:solidFill>
              <a:ln>
                <a:solidFill>
                  <a:srgbClr val="FF0000"/>
                </a:solidFill>
                <a:prstDash val="solid"/>
              </a:ln>
            </c:spPr>
          </c:marker>
          <c:dLbls>
            <c:dLbl>
              <c:idx val="0"/>
              <c:layout>
                <c:manualLayout>
                  <c:x val="-9.5465637072062615E-3"/>
                  <c:y val="-4.3492719831998115E-2"/>
                </c:manualLayout>
              </c:layout>
              <c:dLblPos val="r"/>
              <c:showLegendKey val="0"/>
              <c:showVal val="1"/>
              <c:showCatName val="0"/>
              <c:showSerName val="0"/>
              <c:showPercent val="0"/>
              <c:showBubbleSize val="0"/>
            </c:dLbl>
            <c:dLbl>
              <c:idx val="1"/>
              <c:layout>
                <c:manualLayout>
                  <c:x val="-8.0844464507485846E-3"/>
                  <c:y val="-5.4466147523973447E-2"/>
                </c:manualLayout>
              </c:layout>
              <c:dLblPos val="r"/>
              <c:showLegendKey val="0"/>
              <c:showVal val="1"/>
              <c:showCatName val="0"/>
              <c:showSerName val="0"/>
              <c:showPercent val="0"/>
              <c:showBubbleSize val="0"/>
            </c:dLbl>
            <c:dLbl>
              <c:idx val="2"/>
              <c:layout>
                <c:manualLayout>
                  <c:x val="-9.5495800976477425E-3"/>
                  <c:y val="-4.4236439644390585E-2"/>
                </c:manualLayout>
              </c:layout>
              <c:dLblPos val="r"/>
              <c:showLegendKey val="0"/>
              <c:showVal val="1"/>
              <c:showCatName val="0"/>
              <c:showSerName val="0"/>
              <c:showPercent val="0"/>
              <c:showBubbleSize val="0"/>
            </c:dLbl>
            <c:spPr>
              <a:noFill/>
              <a:ln w="25400">
                <a:noFill/>
              </a:ln>
            </c:spPr>
            <c:txPr>
              <a:bodyPr/>
              <a:lstStyle/>
              <a:p>
                <a:pPr>
                  <a:defRPr sz="1200" b="1" i="0" u="none" strike="noStrike" baseline="0">
                    <a:solidFill>
                      <a:srgbClr val="FF0000"/>
                    </a:solidFill>
                    <a:latin typeface="Arial"/>
                    <a:ea typeface="Arial"/>
                    <a:cs typeface="Arial"/>
                  </a:defRPr>
                </a:pPr>
                <a:endParaRPr lang="de-DE"/>
              </a:p>
            </c:txPr>
            <c:dLblPos val="b"/>
            <c:showLegendKey val="0"/>
            <c:showVal val="1"/>
            <c:showCatName val="0"/>
            <c:showSerName val="0"/>
            <c:showPercent val="0"/>
            <c:showBubbleSize val="0"/>
            <c:showLeaderLines val="0"/>
          </c:dLbls>
          <c:val>
            <c:numRef>
              <c:f>' ÖKOZS-Aufzf..-Mast'!$F$155:$H$155</c:f>
              <c:numCache>
                <c:formatCode>0.0%</c:formatCode>
                <c:ptCount val="3"/>
                <c:pt idx="0">
                  <c:v>2.9797826323248251E-2</c:v>
                </c:pt>
                <c:pt idx="1">
                  <c:v>0.15736446532488471</c:v>
                </c:pt>
                <c:pt idx="2">
                  <c:v>0.27942412277013673</c:v>
                </c:pt>
              </c:numCache>
            </c:numRef>
          </c:val>
          <c:smooth val="0"/>
        </c:ser>
        <c:ser>
          <c:idx val="3"/>
          <c:order val="3"/>
          <c:tx>
            <c:v>Kapitalverzinsung Mast</c:v>
          </c:tx>
          <c:spPr>
            <a:ln w="25400">
              <a:solidFill>
                <a:srgbClr val="000080"/>
              </a:solidFill>
              <a:prstDash val="solid"/>
            </a:ln>
          </c:spPr>
          <c:marker>
            <c:symbol val="x"/>
            <c:size val="5"/>
            <c:spPr>
              <a:solidFill>
                <a:srgbClr val="000080"/>
              </a:solidFill>
              <a:ln>
                <a:solidFill>
                  <a:srgbClr val="000080"/>
                </a:solidFill>
                <a:prstDash val="solid"/>
              </a:ln>
            </c:spPr>
          </c:marker>
          <c:dLbls>
            <c:dLbl>
              <c:idx val="0"/>
              <c:layout>
                <c:manualLayout>
                  <c:x val="-7.3208836151751481E-3"/>
                  <c:y val="-6.488303382935616E-2"/>
                </c:manualLayout>
              </c:layout>
              <c:dLblPos val="r"/>
              <c:showLegendKey val="0"/>
              <c:showVal val="1"/>
              <c:showCatName val="0"/>
              <c:showSerName val="0"/>
              <c:showPercent val="0"/>
              <c:showBubbleSize val="0"/>
            </c:dLbl>
            <c:dLbl>
              <c:idx val="1"/>
              <c:layout>
                <c:manualLayout>
                  <c:x val="-2.3884611624128628E-3"/>
                  <c:y val="-5.0851680333281177E-2"/>
                </c:manualLayout>
              </c:layout>
              <c:dLblPos val="r"/>
              <c:showLegendKey val="0"/>
              <c:showVal val="1"/>
              <c:showCatName val="0"/>
              <c:showSerName val="0"/>
              <c:showPercent val="0"/>
              <c:showBubbleSize val="0"/>
            </c:dLbl>
            <c:dLbl>
              <c:idx val="2"/>
              <c:layout>
                <c:manualLayout>
                  <c:x val="-2.1719883421710107E-2"/>
                  <c:y val="-3.9231636261270006E-2"/>
                </c:manualLayout>
              </c:layout>
              <c:dLblPos val="r"/>
              <c:showLegendKey val="0"/>
              <c:showVal val="1"/>
              <c:showCatName val="0"/>
              <c:showSerName val="0"/>
              <c:showPercent val="0"/>
              <c:showBubbleSize val="0"/>
            </c:dLbl>
            <c:numFmt formatCode="0.0%" sourceLinked="0"/>
            <c:spPr>
              <a:noFill/>
              <a:ln w="25400">
                <a:noFill/>
              </a:ln>
            </c:spPr>
            <c:txPr>
              <a:bodyPr/>
              <a:lstStyle/>
              <a:p>
                <a:pPr>
                  <a:defRPr sz="1200" b="1" i="0" u="none" strike="noStrike" baseline="0">
                    <a:solidFill>
                      <a:srgbClr val="000080"/>
                    </a:solidFill>
                    <a:latin typeface="Arial"/>
                    <a:ea typeface="Arial"/>
                    <a:cs typeface="Arial"/>
                  </a:defRPr>
                </a:pPr>
                <a:endParaRPr lang="de-DE"/>
              </a:p>
            </c:txPr>
            <c:dLblPos val="b"/>
            <c:showLegendKey val="0"/>
            <c:showVal val="1"/>
            <c:showCatName val="0"/>
            <c:showSerName val="0"/>
            <c:showPercent val="0"/>
            <c:showBubbleSize val="0"/>
            <c:showLeaderLines val="0"/>
          </c:dLbls>
          <c:cat>
            <c:numRef>
              <c:f>' ÖKOZS-Aufzf..-Mast'!$F$142:$H$142</c:f>
              <c:numCache>
                <c:formatCode>0.0</c:formatCode>
                <c:ptCount val="3"/>
                <c:pt idx="0">
                  <c:v>16</c:v>
                </c:pt>
                <c:pt idx="1">
                  <c:v>19</c:v>
                </c:pt>
                <c:pt idx="2">
                  <c:v>22</c:v>
                </c:pt>
              </c:numCache>
            </c:numRef>
          </c:cat>
          <c:val>
            <c:numRef>
              <c:f>(' ÖKOZS-Aufzf..-Mast'!$F$167,' ÖKOZS-Aufzf..-Mast'!$G$167:$H$167)</c:f>
              <c:numCache>
                <c:formatCode>0%</c:formatCode>
                <c:ptCount val="3"/>
                <c:pt idx="0">
                  <c:v>-0.13459519481746532</c:v>
                </c:pt>
                <c:pt idx="1">
                  <c:v>-5.7318334957346763E-2</c:v>
                </c:pt>
                <c:pt idx="2">
                  <c:v>1.9958524902771776E-2</c:v>
                </c:pt>
              </c:numCache>
            </c:numRef>
          </c:val>
          <c:smooth val="0"/>
        </c:ser>
        <c:dLbls>
          <c:showLegendKey val="0"/>
          <c:showVal val="0"/>
          <c:showCatName val="0"/>
          <c:showSerName val="0"/>
          <c:showPercent val="0"/>
          <c:showBubbleSize val="0"/>
        </c:dLbls>
        <c:marker val="1"/>
        <c:smooth val="0"/>
        <c:axId val="81423360"/>
        <c:axId val="81449728"/>
      </c:lineChart>
      <c:catAx>
        <c:axId val="8141145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Leistungsniveau (abgesetzte</a:t>
                </a:r>
                <a:r>
                  <a:rPr lang="de-DE" baseline="0"/>
                  <a:t> Ferkel bzw. Futterverwertung Mastschwein</a:t>
                </a:r>
                <a:r>
                  <a:rPr lang="de-DE" sz="1400" b="1" i="0" u="none" strike="noStrike" baseline="0">
                    <a:effectLst/>
                  </a:rPr>
                  <a:t> </a:t>
                </a:r>
                <a:r>
                  <a:rPr lang="de-DE" baseline="0"/>
                  <a:t>)</a:t>
                </a:r>
                <a:endParaRPr lang="de-DE"/>
              </a:p>
            </c:rich>
          </c:tx>
          <c:layout>
            <c:manualLayout>
              <c:xMode val="edge"/>
              <c:yMode val="edge"/>
              <c:x val="0.11800754237713695"/>
              <c:y val="0.9202917097346476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de-DE"/>
          </a:p>
        </c:txPr>
        <c:crossAx val="81421824"/>
        <c:crosses val="autoZero"/>
        <c:auto val="0"/>
        <c:lblAlgn val="ctr"/>
        <c:lblOffset val="100"/>
        <c:tickLblSkip val="1"/>
        <c:tickMarkSkip val="1"/>
        <c:noMultiLvlLbl val="0"/>
      </c:catAx>
      <c:valAx>
        <c:axId val="81421824"/>
        <c:scaling>
          <c:orientation val="minMax"/>
        </c:scaling>
        <c:delete val="0"/>
        <c:axPos val="l"/>
        <c:numFmt formatCode="#,##0\ \€"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81411456"/>
        <c:crosses val="autoZero"/>
        <c:crossBetween val="between"/>
      </c:valAx>
      <c:catAx>
        <c:axId val="81423360"/>
        <c:scaling>
          <c:orientation val="minMax"/>
        </c:scaling>
        <c:delete val="1"/>
        <c:axPos val="b"/>
        <c:majorTickMark val="out"/>
        <c:minorTickMark val="none"/>
        <c:tickLblPos val="nextTo"/>
        <c:crossAx val="81449728"/>
        <c:crosses val="autoZero"/>
        <c:auto val="0"/>
        <c:lblAlgn val="ctr"/>
        <c:lblOffset val="100"/>
        <c:noMultiLvlLbl val="0"/>
      </c:catAx>
      <c:valAx>
        <c:axId val="81449728"/>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81423360"/>
        <c:crosses val="max"/>
        <c:crossBetween val="between"/>
      </c:valAx>
      <c:spPr>
        <a:solidFill>
          <a:srgbClr val="FFFFC0"/>
        </a:solidFill>
        <a:ln w="12700">
          <a:solidFill>
            <a:srgbClr val="808080"/>
          </a:solidFill>
          <a:prstDash val="solid"/>
        </a:ln>
      </c:spPr>
    </c:plotArea>
    <c:legend>
      <c:legendPos val="r"/>
      <c:layout>
        <c:manualLayout>
          <c:xMode val="edge"/>
          <c:yMode val="edge"/>
          <c:x val="0.14833757569954337"/>
          <c:y val="0.14729961477052539"/>
          <c:w val="0.69309482512416509"/>
          <c:h val="0.1194764515659098"/>
        </c:manualLayout>
      </c:layout>
      <c:overlay val="0"/>
      <c:spPr>
        <a:solidFill>
          <a:srgbClr val="FFFFC0"/>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de-DE"/>
              <a:t>Kostenstruktur in  Ferkelerzeugung und Mast</a:t>
            </a:r>
          </a:p>
        </c:rich>
      </c:tx>
      <c:layout>
        <c:manualLayout>
          <c:xMode val="edge"/>
          <c:yMode val="edge"/>
          <c:x val="0.15979165491654063"/>
          <c:y val="3.3303628938431813E-2"/>
        </c:manualLayout>
      </c:layout>
      <c:overlay val="0"/>
      <c:spPr>
        <a:noFill/>
        <a:ln w="25400">
          <a:noFill/>
        </a:ln>
      </c:spPr>
    </c:title>
    <c:autoTitleDeleted val="0"/>
    <c:plotArea>
      <c:layout>
        <c:manualLayout>
          <c:layoutTarget val="inner"/>
          <c:xMode val="edge"/>
          <c:yMode val="edge"/>
          <c:x val="9.2130561406550557E-2"/>
          <c:y val="0.16443609998291481"/>
          <c:w val="0.62476036953817105"/>
          <c:h val="0.71510583015825746"/>
        </c:manualLayout>
      </c:layout>
      <c:barChart>
        <c:barDir val="col"/>
        <c:grouping val="percentStacked"/>
        <c:varyColors val="0"/>
        <c:ser>
          <c:idx val="0"/>
          <c:order val="0"/>
          <c:tx>
            <c:strRef>
              <c:f>' ÖKOZS-Aufzf..-Mast'!$K$46</c:f>
              <c:strCache>
                <c:ptCount val="1"/>
                <c:pt idx="0">
                  <c:v>Bestandsergänzung</c:v>
                </c:pt>
              </c:strCache>
            </c:strRef>
          </c:tx>
          <c:spPr>
            <a:solidFill>
              <a:srgbClr val="8080FF"/>
            </a:solidFill>
            <a:ln w="12700">
              <a:solidFill>
                <a:srgbClr val="000000"/>
              </a:solidFill>
              <a:prstDash val="solid"/>
            </a:ln>
          </c:spPr>
          <c:invertIfNegative val="0"/>
          <c:dLbls>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ÖKOZS-Aufzf..-Mast'!$P$45:$Q$45</c:f>
              <c:strCache>
                <c:ptCount val="2"/>
                <c:pt idx="0">
                  <c:v>Ferkelerzeugung</c:v>
                </c:pt>
                <c:pt idx="1">
                  <c:v>Mast</c:v>
                </c:pt>
              </c:strCache>
            </c:strRef>
          </c:cat>
          <c:val>
            <c:numRef>
              <c:f>' ÖKOZS-Aufzf..-Mast'!$P$46:$Q$46</c:f>
              <c:numCache>
                <c:formatCode>0%</c:formatCode>
                <c:ptCount val="2"/>
                <c:pt idx="0" formatCode="0.0%">
                  <c:v>6.4688059534188186E-2</c:v>
                </c:pt>
                <c:pt idx="1">
                  <c:v>0.38979979680429094</c:v>
                </c:pt>
              </c:numCache>
            </c:numRef>
          </c:val>
        </c:ser>
        <c:ser>
          <c:idx val="1"/>
          <c:order val="1"/>
          <c:tx>
            <c:strRef>
              <c:f>' ÖKOZS-Aufzf..-Mast'!$K$47</c:f>
              <c:strCache>
                <c:ptCount val="1"/>
                <c:pt idx="0">
                  <c:v>Futter</c:v>
                </c:pt>
              </c:strCache>
            </c:strRef>
          </c:tx>
          <c:spPr>
            <a:pattFill prst="solidDmnd">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 sourceLinked="0"/>
            <c:spPr>
              <a:solidFill>
                <a:srgbClr val="FFFFFF"/>
              </a:solidFill>
              <a:ln w="25400">
                <a:noFill/>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ÖKOZS-Aufzf..-Mast'!$P$45:$Q$45</c:f>
              <c:strCache>
                <c:ptCount val="2"/>
                <c:pt idx="0">
                  <c:v>Ferkelerzeugung</c:v>
                </c:pt>
                <c:pt idx="1">
                  <c:v>Mast</c:v>
                </c:pt>
              </c:strCache>
            </c:strRef>
          </c:cat>
          <c:val>
            <c:numRef>
              <c:f>' ÖKOZS-Aufzf..-Mast'!$P$47:$Q$47</c:f>
              <c:numCache>
                <c:formatCode>0%</c:formatCode>
                <c:ptCount val="2"/>
                <c:pt idx="0" formatCode="0.0%">
                  <c:v>0.4351227406708541</c:v>
                </c:pt>
                <c:pt idx="1">
                  <c:v>0.4202981154409462</c:v>
                </c:pt>
              </c:numCache>
            </c:numRef>
          </c:val>
        </c:ser>
        <c:ser>
          <c:idx val="2"/>
          <c:order val="2"/>
          <c:tx>
            <c:strRef>
              <c:f>' ÖKOZS-Aufzf..-Mast'!$K$48</c:f>
              <c:strCache>
                <c:ptCount val="1"/>
                <c:pt idx="0">
                  <c:v>sonst. var. Kosten</c:v>
                </c:pt>
              </c:strCache>
            </c:strRef>
          </c:tx>
          <c:spPr>
            <a:solidFill>
              <a:srgbClr val="FFFF00"/>
            </a:solidFill>
            <a:ln w="12700">
              <a:solidFill>
                <a:srgbClr val="000000"/>
              </a:solidFill>
              <a:prstDash val="solid"/>
            </a:ln>
          </c:spPr>
          <c:invertIfNegative val="0"/>
          <c:dLbls>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ÖKOZS-Aufzf..-Mast'!$P$45:$Q$45</c:f>
              <c:strCache>
                <c:ptCount val="2"/>
                <c:pt idx="0">
                  <c:v>Ferkelerzeugung</c:v>
                </c:pt>
                <c:pt idx="1">
                  <c:v>Mast</c:v>
                </c:pt>
              </c:strCache>
            </c:strRef>
          </c:cat>
          <c:val>
            <c:numRef>
              <c:f>' ÖKOZS-Aufzf..-Mast'!$P$48:$Q$48</c:f>
              <c:numCache>
                <c:formatCode>0%</c:formatCode>
                <c:ptCount val="2"/>
                <c:pt idx="0" formatCode="0.0%">
                  <c:v>0.17777845391446004</c:v>
                </c:pt>
                <c:pt idx="1">
                  <c:v>9.0518946772760414E-2</c:v>
                </c:pt>
              </c:numCache>
            </c:numRef>
          </c:val>
        </c:ser>
        <c:ser>
          <c:idx val="3"/>
          <c:order val="3"/>
          <c:tx>
            <c:strRef>
              <c:f>' ÖKOZS-Aufzf..-Mast'!$K$49</c:f>
              <c:strCache>
                <c:ptCount val="1"/>
                <c:pt idx="0">
                  <c:v>Stall u. Gemeinkosten</c:v>
                </c:pt>
              </c:strCache>
            </c:strRef>
          </c:tx>
          <c:spPr>
            <a:pattFill prst="wdUpDiag">
              <a:fgClr>
                <a:srgbClr xmlns:mc="http://schemas.openxmlformats.org/markup-compatibility/2006" xmlns:a14="http://schemas.microsoft.com/office/drawing/2010/main" val="A0E0E0" mc:Ignorable="a14" a14:legacySpreadsheetColorIndex="27"/>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numFmt formatCode="0%" sourceLinked="0"/>
              <c:spPr>
                <a:solidFill>
                  <a:srgbClr val="EEECE1"/>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dLbl>
            <c:dLbl>
              <c:idx val="1"/>
              <c:numFmt formatCode="0%" sourceLinked="0"/>
              <c:spPr>
                <a:solidFill>
                  <a:srgbClr val="EEECE1"/>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dLbl>
            <c:numFmt formatCode="0%" sourceLinked="0"/>
            <c:spPr>
              <a:no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ÖKOZS-Aufzf..-Mast'!$P$45:$Q$45</c:f>
              <c:strCache>
                <c:ptCount val="2"/>
                <c:pt idx="0">
                  <c:v>Ferkelerzeugung</c:v>
                </c:pt>
                <c:pt idx="1">
                  <c:v>Mast</c:v>
                </c:pt>
              </c:strCache>
            </c:strRef>
          </c:cat>
          <c:val>
            <c:numRef>
              <c:f>' ÖKOZS-Aufzf..-Mast'!$P$49:$Q$49</c:f>
              <c:numCache>
                <c:formatCode>0%</c:formatCode>
                <c:ptCount val="2"/>
                <c:pt idx="0" formatCode="0.0%">
                  <c:v>0.15131742923497135</c:v>
                </c:pt>
                <c:pt idx="1">
                  <c:v>5.3362440285529208E-2</c:v>
                </c:pt>
              </c:numCache>
            </c:numRef>
          </c:val>
        </c:ser>
        <c:ser>
          <c:idx val="4"/>
          <c:order val="4"/>
          <c:tx>
            <c:strRef>
              <c:f>' ÖKOZS-Aufzf..-Mast'!$K$50</c:f>
              <c:strCache>
                <c:ptCount val="1"/>
                <c:pt idx="0">
                  <c:v>Arbeit</c:v>
                </c:pt>
              </c:strCache>
            </c:strRef>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 ÖKOZS-Aufzf..-Mast'!$P$45:$Q$45</c:f>
              <c:strCache>
                <c:ptCount val="2"/>
                <c:pt idx="0">
                  <c:v>Ferkelerzeugung</c:v>
                </c:pt>
                <c:pt idx="1">
                  <c:v>Mast</c:v>
                </c:pt>
              </c:strCache>
            </c:strRef>
          </c:cat>
          <c:val>
            <c:numRef>
              <c:f>' ÖKOZS-Aufzf..-Mast'!$P$50:$Q$50</c:f>
              <c:numCache>
                <c:formatCode>0%</c:formatCode>
                <c:ptCount val="2"/>
                <c:pt idx="0" formatCode="0.0%">
                  <c:v>0.17109331664552632</c:v>
                </c:pt>
                <c:pt idx="1">
                  <c:v>4.6020700696473189E-2</c:v>
                </c:pt>
              </c:numCache>
            </c:numRef>
          </c:val>
        </c:ser>
        <c:dLbls>
          <c:showLegendKey val="0"/>
          <c:showVal val="0"/>
          <c:showCatName val="0"/>
          <c:showSerName val="0"/>
          <c:showPercent val="0"/>
          <c:showBubbleSize val="0"/>
        </c:dLbls>
        <c:gapWidth val="100"/>
        <c:overlap val="100"/>
        <c:axId val="81509376"/>
        <c:axId val="81535744"/>
      </c:barChart>
      <c:catAx>
        <c:axId val="8150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81535744"/>
        <c:crosses val="autoZero"/>
        <c:auto val="1"/>
        <c:lblAlgn val="ctr"/>
        <c:lblOffset val="100"/>
        <c:tickLblSkip val="1"/>
        <c:tickMarkSkip val="1"/>
        <c:noMultiLvlLbl val="0"/>
      </c:catAx>
      <c:valAx>
        <c:axId val="815357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25" b="1" i="0" u="none" strike="noStrike" baseline="0">
                <a:solidFill>
                  <a:srgbClr val="000000"/>
                </a:solidFill>
                <a:latin typeface="Arial"/>
                <a:ea typeface="Arial"/>
                <a:cs typeface="Arial"/>
              </a:defRPr>
            </a:pPr>
            <a:endParaRPr lang="de-DE"/>
          </a:p>
        </c:txPr>
        <c:crossAx val="81509376"/>
        <c:crosses val="autoZero"/>
        <c:crossBetween val="between"/>
      </c:valAx>
      <c:spPr>
        <a:solidFill>
          <a:srgbClr val="C0C0C0"/>
        </a:solidFill>
        <a:ln w="12700">
          <a:solidFill>
            <a:srgbClr val="808080"/>
          </a:solidFill>
          <a:prstDash val="solid"/>
        </a:ln>
      </c:spPr>
    </c:plotArea>
    <c:legend>
      <c:legendPos val="r"/>
      <c:layout>
        <c:manualLayout>
          <c:xMode val="edge"/>
          <c:yMode val="edge"/>
          <c:x val="0.75147010986463225"/>
          <c:y val="0.24131989525617722"/>
          <c:w val="0.1981531195257854"/>
          <c:h val="0.62500063230736547"/>
        </c:manualLayout>
      </c:layout>
      <c:overlay val="0"/>
      <c:spPr>
        <a:solidFill>
          <a:srgbClr val="FFFFC0"/>
        </a:solidFill>
        <a:ln w="3175">
          <a:solidFill>
            <a:srgbClr val="000000"/>
          </a:solidFill>
          <a:prstDash val="solid"/>
        </a:ln>
      </c:spPr>
      <c:txPr>
        <a:bodyPr/>
        <a:lstStyle/>
        <a:p>
          <a:pPr>
            <a:defRPr sz="1085" b="1"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Kostenstruktur </a:t>
            </a:r>
            <a:r>
              <a:rPr lang="de-DE" baseline="0"/>
              <a:t>Ferkelerzeugung</a:t>
            </a:r>
            <a:endParaRPr lang="de-DE"/>
          </a:p>
        </c:rich>
      </c:tx>
      <c:overlay val="0"/>
    </c:title>
    <c:autoTitleDeleted val="0"/>
    <c:plotArea>
      <c:layout/>
      <c:pieChart>
        <c:varyColors val="1"/>
        <c:ser>
          <c:idx val="0"/>
          <c:order val="0"/>
          <c:dLbls>
            <c:showLegendKey val="0"/>
            <c:showVal val="0"/>
            <c:showCatName val="0"/>
            <c:showSerName val="0"/>
            <c:showPercent val="1"/>
            <c:showBubbleSize val="0"/>
            <c:showLeaderLines val="1"/>
          </c:dLbls>
          <c:cat>
            <c:strRef>
              <c:f>' ÖKOZS-Aufzf..-Mast'!$K$46:$K$50</c:f>
              <c:strCache>
                <c:ptCount val="5"/>
                <c:pt idx="0">
                  <c:v>Bestandsergänzung</c:v>
                </c:pt>
                <c:pt idx="1">
                  <c:v>Futter</c:v>
                </c:pt>
                <c:pt idx="2">
                  <c:v>sonst. var. Kosten</c:v>
                </c:pt>
                <c:pt idx="3">
                  <c:v>Stall u. Gemeinkosten</c:v>
                </c:pt>
                <c:pt idx="4">
                  <c:v>Arbeit</c:v>
                </c:pt>
              </c:strCache>
            </c:strRef>
          </c:cat>
          <c:val>
            <c:numRef>
              <c:f>' ÖKOZS-Aufzf..-Mast'!$P$46:$P$50</c:f>
              <c:numCache>
                <c:formatCode>0.0%</c:formatCode>
                <c:ptCount val="5"/>
                <c:pt idx="0">
                  <c:v>6.4688059534188186E-2</c:v>
                </c:pt>
                <c:pt idx="1">
                  <c:v>0.4351227406708541</c:v>
                </c:pt>
                <c:pt idx="2">
                  <c:v>0.17777845391446004</c:v>
                </c:pt>
                <c:pt idx="3">
                  <c:v>0.15131742923497135</c:v>
                </c:pt>
                <c:pt idx="4">
                  <c:v>0.17109331664552632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744444444444446"/>
          <c:y val="0.30279143140352527"/>
          <c:w val="0.31035568378875794"/>
          <c:h val="0.32585145227250217"/>
        </c:manualLayout>
      </c:layout>
      <c:overlay val="0"/>
      <c:txPr>
        <a:bodyPr/>
        <a:lstStyle/>
        <a:p>
          <a:pPr rtl="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Kostenstruktur</a:t>
            </a:r>
            <a:r>
              <a:rPr lang="de-DE" baseline="0"/>
              <a:t> Schweinemast </a:t>
            </a:r>
            <a:endParaRPr lang="de-DE"/>
          </a:p>
        </c:rich>
      </c:tx>
      <c:overlay val="0"/>
    </c:title>
    <c:autoTitleDeleted val="0"/>
    <c:plotArea>
      <c:layout/>
      <c:pieChart>
        <c:varyColors val="1"/>
        <c:ser>
          <c:idx val="0"/>
          <c:order val="0"/>
          <c:tx>
            <c:strRef>
              <c:f>' ÖKOZS-Aufzf..-Mast'!$K$46:$K$50</c:f>
              <c:strCache>
                <c:ptCount val="1"/>
                <c:pt idx="0">
                  <c:v>Bestandsergänzung Futter sonst. var. Kosten Stall u. Gemeinkosten Arbeit</c:v>
                </c:pt>
              </c:strCache>
            </c:strRef>
          </c:tx>
          <c:dLbls>
            <c:showLegendKey val="0"/>
            <c:showVal val="0"/>
            <c:showCatName val="0"/>
            <c:showSerName val="0"/>
            <c:showPercent val="1"/>
            <c:showBubbleSize val="0"/>
            <c:showLeaderLines val="1"/>
          </c:dLbls>
          <c:cat>
            <c:strRef>
              <c:f>' ÖKOZS-Aufzf..-Mast'!$K$46:$K$50</c:f>
              <c:strCache>
                <c:ptCount val="5"/>
                <c:pt idx="0">
                  <c:v>Bestandsergänzung</c:v>
                </c:pt>
                <c:pt idx="1">
                  <c:v>Futter</c:v>
                </c:pt>
                <c:pt idx="2">
                  <c:v>sonst. var. Kosten</c:v>
                </c:pt>
                <c:pt idx="3">
                  <c:v>Stall u. Gemeinkosten</c:v>
                </c:pt>
                <c:pt idx="4">
                  <c:v>Arbeit</c:v>
                </c:pt>
              </c:strCache>
            </c:strRef>
          </c:cat>
          <c:val>
            <c:numRef>
              <c:f>' ÖKOZS-Aufzf..-Mast'!$Q$46:$Q$50</c:f>
              <c:numCache>
                <c:formatCode>0%</c:formatCode>
                <c:ptCount val="5"/>
                <c:pt idx="0">
                  <c:v>0.38979979680429094</c:v>
                </c:pt>
                <c:pt idx="1">
                  <c:v>0.4202981154409462</c:v>
                </c:pt>
                <c:pt idx="2">
                  <c:v>9.0518946772760414E-2</c:v>
                </c:pt>
                <c:pt idx="3">
                  <c:v>5.3362440285529208E-2</c:v>
                </c:pt>
                <c:pt idx="4">
                  <c:v>4.6020700696473189E-2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858680940780864"/>
          <c:y val="0.37126687516725121"/>
          <c:w val="0.31379710804751254"/>
          <c:h val="0.32585145227250217"/>
        </c:manualLayout>
      </c:layout>
      <c:overlay val="0"/>
      <c:txPr>
        <a:bodyPr/>
        <a:lstStyle/>
        <a:p>
          <a:pPr rtl="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3.png"/><Relationship Id="rId5" Type="http://schemas.openxmlformats.org/officeDocument/2006/relationships/image" Target="../media/image8.png"/><Relationship Id="rId10" Type="http://schemas.openxmlformats.org/officeDocument/2006/relationships/image" Target="../media/image1.wmf"/><Relationship Id="rId4" Type="http://schemas.openxmlformats.org/officeDocument/2006/relationships/image" Target="../media/image7.png"/><Relationship Id="rId9"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wmf"/><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76</xdr:row>
      <xdr:rowOff>25879</xdr:rowOff>
    </xdr:from>
    <xdr:to>
      <xdr:col>0</xdr:col>
      <xdr:colOff>0</xdr:colOff>
      <xdr:row>76</xdr:row>
      <xdr:rowOff>60385</xdr:rowOff>
    </xdr:to>
    <xdr:sp macro="" textlink="">
      <xdr:nvSpPr>
        <xdr:cNvPr id="2921020" name="Zeichnung 1"/>
        <xdr:cNvSpPr>
          <a:spLocks/>
        </xdr:cNvSpPr>
      </xdr:nvSpPr>
      <xdr:spPr bwMode="auto">
        <a:xfrm>
          <a:off x="0" y="23196430"/>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51504</xdr:colOff>
      <xdr:row>0</xdr:row>
      <xdr:rowOff>63262</xdr:rowOff>
    </xdr:from>
    <xdr:to>
      <xdr:col>1</xdr:col>
      <xdr:colOff>1265207</xdr:colOff>
      <xdr:row>1</xdr:row>
      <xdr:rowOff>822067</xdr:rowOff>
    </xdr:to>
    <xdr:pic>
      <xdr:nvPicPr>
        <xdr:cNvPr id="292102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19" y="63262"/>
          <a:ext cx="1213703" cy="850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664234</xdr:colOff>
      <xdr:row>1</xdr:row>
      <xdr:rowOff>43132</xdr:rowOff>
    </xdr:from>
    <xdr:to>
      <xdr:col>7</xdr:col>
      <xdr:colOff>1509623</xdr:colOff>
      <xdr:row>2</xdr:row>
      <xdr:rowOff>207034</xdr:rowOff>
    </xdr:to>
    <xdr:pic>
      <xdr:nvPicPr>
        <xdr:cNvPr id="2921024"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7132" y="250166"/>
          <a:ext cx="1613140" cy="1078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552090</xdr:colOff>
      <xdr:row>29</xdr:row>
      <xdr:rowOff>322053</xdr:rowOff>
    </xdr:from>
    <xdr:to>
      <xdr:col>9</xdr:col>
      <xdr:colOff>322053</xdr:colOff>
      <xdr:row>30</xdr:row>
      <xdr:rowOff>227162</xdr:rowOff>
    </xdr:to>
    <xdr:sp macro="" textlink="">
      <xdr:nvSpPr>
        <xdr:cNvPr id="5" name="Pfeil nach rechts 4"/>
        <xdr:cNvSpPr/>
      </xdr:nvSpPr>
      <xdr:spPr bwMode="auto">
        <a:xfrm rot="10800000">
          <a:off x="11432875" y="7338204"/>
          <a:ext cx="448574" cy="273169"/>
        </a:xfrm>
        <a:prstGeom prst="rightArrow">
          <a:avLst/>
        </a:prstGeom>
        <a:solidFill>
          <a:srgbClr xmlns:mc="http://schemas.openxmlformats.org/markup-compatibility/2006" xmlns:a14="http://schemas.microsoft.com/office/drawing/2010/main" val="FFFFFF" mc:Ignorable="a14" a14:legacySpreadsheetColorIndex="9"/>
        </a:solidFill>
        <a:ln w="571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526211</xdr:colOff>
      <xdr:row>7</xdr:row>
      <xdr:rowOff>396815</xdr:rowOff>
    </xdr:from>
    <xdr:to>
      <xdr:col>10</xdr:col>
      <xdr:colOff>0</xdr:colOff>
      <xdr:row>9</xdr:row>
      <xdr:rowOff>2104845</xdr:rowOff>
    </xdr:to>
    <xdr:pic>
      <xdr:nvPicPr>
        <xdr:cNvPr id="2847989"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2981" y="1621766"/>
          <a:ext cx="3812876" cy="3157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724619</xdr:colOff>
      <xdr:row>2</xdr:row>
      <xdr:rowOff>17253</xdr:rowOff>
    </xdr:to>
    <xdr:pic>
      <xdr:nvPicPr>
        <xdr:cNvPr id="2847990"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396" y="172528"/>
          <a:ext cx="724619" cy="50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750498</xdr:colOff>
      <xdr:row>37</xdr:row>
      <xdr:rowOff>8627</xdr:rowOff>
    </xdr:from>
    <xdr:to>
      <xdr:col>2</xdr:col>
      <xdr:colOff>2562045</xdr:colOff>
      <xdr:row>59</xdr:row>
      <xdr:rowOff>8627</xdr:rowOff>
    </xdr:to>
    <xdr:pic>
      <xdr:nvPicPr>
        <xdr:cNvPr id="3701194"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883" y="9929004"/>
          <a:ext cx="4830792" cy="3605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319177</xdr:colOff>
      <xdr:row>2</xdr:row>
      <xdr:rowOff>189782</xdr:rowOff>
    </xdr:from>
    <xdr:to>
      <xdr:col>3</xdr:col>
      <xdr:colOff>310551</xdr:colOff>
      <xdr:row>19</xdr:row>
      <xdr:rowOff>51759</xdr:rowOff>
    </xdr:to>
    <xdr:pic>
      <xdr:nvPicPr>
        <xdr:cNvPr id="3701195" name="Grafi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562" y="854016"/>
          <a:ext cx="6021238" cy="4132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57</xdr:row>
      <xdr:rowOff>17253</xdr:rowOff>
    </xdr:from>
    <xdr:to>
      <xdr:col>2</xdr:col>
      <xdr:colOff>405442</xdr:colOff>
      <xdr:row>73</xdr:row>
      <xdr:rowOff>17253</xdr:rowOff>
    </xdr:to>
    <xdr:pic>
      <xdr:nvPicPr>
        <xdr:cNvPr id="3701196" name="Grafik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215668"/>
          <a:ext cx="3485072" cy="262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72</xdr:row>
      <xdr:rowOff>69011</xdr:rowOff>
    </xdr:from>
    <xdr:to>
      <xdr:col>2</xdr:col>
      <xdr:colOff>276045</xdr:colOff>
      <xdr:row>85</xdr:row>
      <xdr:rowOff>276047</xdr:rowOff>
    </xdr:to>
    <xdr:pic>
      <xdr:nvPicPr>
        <xdr:cNvPr id="3701197" name="Grafik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5725955"/>
          <a:ext cx="3355675" cy="251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353683</xdr:colOff>
      <xdr:row>57</xdr:row>
      <xdr:rowOff>25879</xdr:rowOff>
    </xdr:from>
    <xdr:to>
      <xdr:col>4</xdr:col>
      <xdr:colOff>8626</xdr:colOff>
      <xdr:row>72</xdr:row>
      <xdr:rowOff>69010</xdr:rowOff>
    </xdr:to>
    <xdr:pic>
      <xdr:nvPicPr>
        <xdr:cNvPr id="3701198" name="Grafik 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33313" y="13224294"/>
          <a:ext cx="3321170" cy="2501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284672</xdr:colOff>
      <xdr:row>72</xdr:row>
      <xdr:rowOff>25879</xdr:rowOff>
    </xdr:from>
    <xdr:to>
      <xdr:col>3</xdr:col>
      <xdr:colOff>646981</xdr:colOff>
      <xdr:row>85</xdr:row>
      <xdr:rowOff>250168</xdr:rowOff>
    </xdr:to>
    <xdr:pic>
      <xdr:nvPicPr>
        <xdr:cNvPr id="3701199" name="Grafik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64302" y="15682823"/>
          <a:ext cx="3372928" cy="2527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25879</xdr:colOff>
      <xdr:row>20</xdr:row>
      <xdr:rowOff>17253</xdr:rowOff>
    </xdr:from>
    <xdr:to>
      <xdr:col>2</xdr:col>
      <xdr:colOff>181155</xdr:colOff>
      <xdr:row>24</xdr:row>
      <xdr:rowOff>8626</xdr:rowOff>
    </xdr:to>
    <xdr:pic>
      <xdr:nvPicPr>
        <xdr:cNvPr id="3701200" name="Grafik 1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879" y="5201728"/>
          <a:ext cx="3234906" cy="243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353683</xdr:colOff>
      <xdr:row>20</xdr:row>
      <xdr:rowOff>34506</xdr:rowOff>
    </xdr:from>
    <xdr:to>
      <xdr:col>4</xdr:col>
      <xdr:colOff>25879</xdr:colOff>
      <xdr:row>24</xdr:row>
      <xdr:rowOff>94891</xdr:rowOff>
    </xdr:to>
    <xdr:pic>
      <xdr:nvPicPr>
        <xdr:cNvPr id="3701201" name="Grafik 11"/>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33313" y="5218981"/>
          <a:ext cx="3338423" cy="2501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xdr:row>
      <xdr:rowOff>508958</xdr:rowOff>
    </xdr:from>
    <xdr:to>
      <xdr:col>2</xdr:col>
      <xdr:colOff>276045</xdr:colOff>
      <xdr:row>36</xdr:row>
      <xdr:rowOff>146648</xdr:rowOff>
    </xdr:to>
    <xdr:pic>
      <xdr:nvPicPr>
        <xdr:cNvPr id="3701202" name="Grafik 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7228935"/>
          <a:ext cx="3355675" cy="251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8626</xdr:colOff>
      <xdr:row>1</xdr:row>
      <xdr:rowOff>34506</xdr:rowOff>
    </xdr:from>
    <xdr:to>
      <xdr:col>1</xdr:col>
      <xdr:colOff>733245</xdr:colOff>
      <xdr:row>2</xdr:row>
      <xdr:rowOff>43132</xdr:rowOff>
    </xdr:to>
    <xdr:pic>
      <xdr:nvPicPr>
        <xdr:cNvPr id="3701203" name="Grafik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011" y="207034"/>
          <a:ext cx="724619" cy="50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319176</xdr:colOff>
      <xdr:row>22</xdr:row>
      <xdr:rowOff>500333</xdr:rowOff>
    </xdr:from>
    <xdr:to>
      <xdr:col>4</xdr:col>
      <xdr:colOff>8625</xdr:colOff>
      <xdr:row>36</xdr:row>
      <xdr:rowOff>155276</xdr:rowOff>
    </xdr:to>
    <xdr:pic>
      <xdr:nvPicPr>
        <xdr:cNvPr id="3701204" name="Grafik 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98806" y="7220310"/>
          <a:ext cx="3355676" cy="2527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34506</xdr:colOff>
      <xdr:row>2</xdr:row>
      <xdr:rowOff>60384</xdr:rowOff>
    </xdr:from>
    <xdr:to>
      <xdr:col>3</xdr:col>
      <xdr:colOff>69011</xdr:colOff>
      <xdr:row>2</xdr:row>
      <xdr:rowOff>301924</xdr:rowOff>
    </xdr:to>
    <xdr:sp macro="" textlink="">
      <xdr:nvSpPr>
        <xdr:cNvPr id="2" name="Textfeld 1"/>
        <xdr:cNvSpPr txBox="1"/>
      </xdr:nvSpPr>
      <xdr:spPr>
        <a:xfrm>
          <a:off x="34506" y="724618"/>
          <a:ext cx="6124754" cy="24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400" b="1">
              <a:latin typeface="Arial" panose="020B0604020202020204" pitchFamily="34" charset="0"/>
              <a:cs typeface="Arial" panose="020B0604020202020204" pitchFamily="34" charset="0"/>
            </a:rPr>
            <a:t>Förderung nach FAKT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103</xdr:row>
      <xdr:rowOff>25879</xdr:rowOff>
    </xdr:from>
    <xdr:to>
      <xdr:col>0</xdr:col>
      <xdr:colOff>0</xdr:colOff>
      <xdr:row>103</xdr:row>
      <xdr:rowOff>60385</xdr:rowOff>
    </xdr:to>
    <xdr:sp macro="" textlink="">
      <xdr:nvSpPr>
        <xdr:cNvPr id="4104199" name="Zeichnung 1"/>
        <xdr:cNvSpPr>
          <a:spLocks/>
        </xdr:cNvSpPr>
      </xdr:nvSpPr>
      <xdr:spPr bwMode="auto">
        <a:xfrm>
          <a:off x="0" y="24317864"/>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77638</xdr:colOff>
      <xdr:row>1</xdr:row>
      <xdr:rowOff>17253</xdr:rowOff>
    </xdr:from>
    <xdr:to>
      <xdr:col>1</xdr:col>
      <xdr:colOff>727268</xdr:colOff>
      <xdr:row>2</xdr:row>
      <xdr:rowOff>20298</xdr:rowOff>
    </xdr:to>
    <xdr:pic>
      <xdr:nvPicPr>
        <xdr:cNvPr id="410420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77" y="98442"/>
          <a:ext cx="649630" cy="459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51758</xdr:colOff>
      <xdr:row>73</xdr:row>
      <xdr:rowOff>0</xdr:rowOff>
    </xdr:from>
    <xdr:to>
      <xdr:col>1</xdr:col>
      <xdr:colOff>733245</xdr:colOff>
      <xdr:row>74</xdr:row>
      <xdr:rowOff>11163</xdr:rowOff>
    </xdr:to>
    <xdr:pic>
      <xdr:nvPicPr>
        <xdr:cNvPr id="4104201"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49" y="17373600"/>
          <a:ext cx="681487" cy="46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1457864</xdr:colOff>
      <xdr:row>71</xdr:row>
      <xdr:rowOff>17253</xdr:rowOff>
    </xdr:from>
    <xdr:ext cx="184731" cy="264560"/>
    <xdr:sp macro="" textlink="">
      <xdr:nvSpPr>
        <xdr:cNvPr id="2" name="Textfeld 1"/>
        <xdr:cNvSpPr txBox="1"/>
      </xdr:nvSpPr>
      <xdr:spPr>
        <a:xfrm>
          <a:off x="1552755" y="170544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28</xdr:row>
      <xdr:rowOff>103517</xdr:rowOff>
    </xdr:from>
    <xdr:to>
      <xdr:col>11</xdr:col>
      <xdr:colOff>741872</xdr:colOff>
      <xdr:row>52</xdr:row>
      <xdr:rowOff>146649</xdr:rowOff>
    </xdr:to>
    <xdr:graphicFrame macro="">
      <xdr:nvGraphicFramePr>
        <xdr:cNvPr id="2661227"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6</xdr:col>
      <xdr:colOff>362309</xdr:colOff>
      <xdr:row>27</xdr:row>
      <xdr:rowOff>146649</xdr:rowOff>
    </xdr:to>
    <xdr:graphicFrame macro="">
      <xdr:nvGraphicFramePr>
        <xdr:cNvPr id="2661225"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439947</xdr:colOff>
      <xdr:row>4</xdr:row>
      <xdr:rowOff>8626</xdr:rowOff>
    </xdr:from>
    <xdr:to>
      <xdr:col>11</xdr:col>
      <xdr:colOff>724619</xdr:colOff>
      <xdr:row>28</xdr:row>
      <xdr:rowOff>0</xdr:rowOff>
    </xdr:to>
    <xdr:graphicFrame macro="">
      <xdr:nvGraphicFramePr>
        <xdr:cNvPr id="2661226" name="Diagramm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307675</xdr:colOff>
      <xdr:row>54</xdr:row>
      <xdr:rowOff>120772</xdr:rowOff>
    </xdr:from>
    <xdr:to>
      <xdr:col>11</xdr:col>
      <xdr:colOff>322053</xdr:colOff>
      <xdr:row>88</xdr:row>
      <xdr:rowOff>34507</xdr:rowOff>
    </xdr:to>
    <xdr:graphicFrame macro="">
      <xdr:nvGraphicFramePr>
        <xdr:cNvPr id="2661228"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276045</xdr:colOff>
      <xdr:row>89</xdr:row>
      <xdr:rowOff>17253</xdr:rowOff>
    </xdr:from>
    <xdr:to>
      <xdr:col>11</xdr:col>
      <xdr:colOff>284672</xdr:colOff>
      <xdr:row>123</xdr:row>
      <xdr:rowOff>163901</xdr:rowOff>
    </xdr:to>
    <xdr:graphicFrame macro="">
      <xdr:nvGraphicFramePr>
        <xdr:cNvPr id="2661229"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120770</xdr:colOff>
      <xdr:row>2</xdr:row>
      <xdr:rowOff>25879</xdr:rowOff>
    </xdr:from>
    <xdr:to>
      <xdr:col>2</xdr:col>
      <xdr:colOff>25879</xdr:colOff>
      <xdr:row>3</xdr:row>
      <xdr:rowOff>17253</xdr:rowOff>
    </xdr:to>
    <xdr:pic>
      <xdr:nvPicPr>
        <xdr:cNvPr id="2661230" name="Grafik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419" y="258792"/>
          <a:ext cx="664234" cy="5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0.49381</cdr:x>
      <cdr:y>0.06309</cdr:y>
    </cdr:from>
    <cdr:to>
      <cdr:x>0.71294</cdr:x>
      <cdr:y>0.13978</cdr:y>
    </cdr:to>
    <cdr:sp macro="" textlink="">
      <cdr:nvSpPr>
        <cdr:cNvPr id="14337" name="Text Box 1"/>
        <cdr:cNvSpPr txBox="1">
          <a:spLocks xmlns:a="http://schemas.openxmlformats.org/drawingml/2006/main" noChangeArrowheads="1"/>
        </cdr:cNvSpPr>
      </cdr:nvSpPr>
      <cdr:spPr bwMode="auto">
        <a:xfrm xmlns:a="http://schemas.openxmlformats.org/drawingml/2006/main">
          <a:off x="4114977" y="322208"/>
          <a:ext cx="1826036" cy="3916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45720" tIns="0" rIns="0" bIns="36576"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 28 kg Ferkel</a:t>
          </a:r>
        </a:p>
      </cdr:txBody>
    </cdr:sp>
  </cdr:relSizeAnchor>
  <cdr:relSizeAnchor xmlns:cdr="http://schemas.openxmlformats.org/drawingml/2006/chartDrawing">
    <cdr:from>
      <cdr:x>0.28947</cdr:x>
      <cdr:y>0.07497</cdr:y>
    </cdr:from>
    <cdr:to>
      <cdr:x>0.46652</cdr:x>
      <cdr:y>0.14088</cdr:y>
    </cdr:to>
    <cdr:sp macro="" textlink="">
      <cdr:nvSpPr>
        <cdr:cNvPr id="14338" name="Text Box 2"/>
        <cdr:cNvSpPr txBox="1">
          <a:spLocks xmlns:a="http://schemas.openxmlformats.org/drawingml/2006/main" noChangeArrowheads="1"/>
        </cdr:cNvSpPr>
      </cdr:nvSpPr>
      <cdr:spPr bwMode="auto">
        <a:xfrm xmlns:a="http://schemas.openxmlformats.org/drawingml/2006/main">
          <a:off x="2412224" y="382877"/>
          <a:ext cx="1475379" cy="3365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0" rIns="0" bIns="32004"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€/kg SG und </a:t>
          </a:r>
        </a:p>
      </cdr:txBody>
    </cdr:sp>
  </cdr:relSizeAnchor>
  <cdr:relSizeAnchor xmlns:cdr="http://schemas.openxmlformats.org/drawingml/2006/chartDrawing">
    <cdr:from>
      <cdr:x>0.22756</cdr:x>
      <cdr:y>0.07666</cdr:y>
    </cdr:from>
    <cdr:to>
      <cdr:x>0.29888</cdr:x>
      <cdr:y>0.14307</cdr:y>
    </cdr:to>
    <cdr:sp macro="" textlink="' ÖKOZS-Aufzf..-Mast'!$D$87">
      <cdr:nvSpPr>
        <cdr:cNvPr id="14339" name="Text Box 3"/>
        <cdr:cNvSpPr txBox="1">
          <a:spLocks xmlns:a="http://schemas.openxmlformats.org/drawingml/2006/main" noChangeArrowheads="1" noTextEdit="1"/>
        </cdr:cNvSpPr>
      </cdr:nvSpPr>
      <cdr:spPr bwMode="auto">
        <a:xfrm xmlns:a="http://schemas.openxmlformats.org/drawingml/2006/main">
          <a:off x="1896244" y="391503"/>
          <a:ext cx="59431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22D05356-F3F0-492B-B4AD-ED9F581AD101}" type="TxLink">
            <a:rPr lang="de-DE" sz="1650" b="1" i="0" u="none" strike="noStrike" baseline="0">
              <a:solidFill>
                <a:srgbClr val="000000"/>
              </a:solidFill>
              <a:latin typeface="Arial"/>
              <a:cs typeface="Arial"/>
            </a:rPr>
            <a:pPr algn="ctr" rtl="0">
              <a:defRPr sz="1000"/>
            </a:pPr>
            <a:t>3,75</a:t>
          </a:fld>
          <a:endParaRPr lang="de-DE" sz="1650" b="1" i="0" u="none" strike="noStrike" baseline="0">
            <a:solidFill>
              <a:srgbClr val="000000"/>
            </a:solidFill>
            <a:latin typeface="Arial"/>
            <a:cs typeface="Arial"/>
          </a:endParaRPr>
        </a:p>
      </cdr:txBody>
    </cdr:sp>
  </cdr:relSizeAnchor>
  <cdr:relSizeAnchor xmlns:cdr="http://schemas.openxmlformats.org/drawingml/2006/chartDrawing">
    <cdr:from>
      <cdr:x>0.43685</cdr:x>
      <cdr:y>0.08132</cdr:y>
    </cdr:from>
    <cdr:to>
      <cdr:x>0.51863</cdr:x>
      <cdr:y>0.14773</cdr:y>
    </cdr:to>
    <cdr:sp macro="" textlink="' ÖKOZS-Aufzf..-Mast'!$H$86">
      <cdr:nvSpPr>
        <cdr:cNvPr id="14340"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140</a:t>
          </a:fld>
          <a:endParaRPr lang="de-DE" sz="1600"/>
        </a:p>
      </cdr:txBody>
    </cdr:sp>
  </cdr:relSizeAnchor>
  <cdr:relSizeAnchor xmlns:cdr="http://schemas.openxmlformats.org/drawingml/2006/chartDrawing">
    <cdr:from>
      <cdr:x>0.49381</cdr:x>
      <cdr:y>0.06309</cdr:y>
    </cdr:from>
    <cdr:to>
      <cdr:x>0.71294</cdr:x>
      <cdr:y>0.13978</cdr:y>
    </cdr:to>
    <cdr:sp macro="" textlink="">
      <cdr:nvSpPr>
        <cdr:cNvPr id="2" name="Text Box 1"/>
        <cdr:cNvSpPr txBox="1">
          <a:spLocks xmlns:a="http://schemas.openxmlformats.org/drawingml/2006/main" noChangeArrowheads="1"/>
        </cdr:cNvSpPr>
      </cdr:nvSpPr>
      <cdr:spPr bwMode="auto">
        <a:xfrm xmlns:a="http://schemas.openxmlformats.org/drawingml/2006/main">
          <a:off x="4114977" y="322208"/>
          <a:ext cx="1826036" cy="3916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45720" tIns="0" rIns="0" bIns="36576"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 28 kg Ferkel</a:t>
          </a:r>
        </a:p>
      </cdr:txBody>
    </cdr:sp>
  </cdr:relSizeAnchor>
  <cdr:relSizeAnchor xmlns:cdr="http://schemas.openxmlformats.org/drawingml/2006/chartDrawing">
    <cdr:from>
      <cdr:x>0.28947</cdr:x>
      <cdr:y>0.07497</cdr:y>
    </cdr:from>
    <cdr:to>
      <cdr:x>0.46652</cdr:x>
      <cdr:y>0.14088</cdr:y>
    </cdr:to>
    <cdr:sp macro="" textlink="">
      <cdr:nvSpPr>
        <cdr:cNvPr id="3" name="Text Box 2"/>
        <cdr:cNvSpPr txBox="1">
          <a:spLocks xmlns:a="http://schemas.openxmlformats.org/drawingml/2006/main" noChangeArrowheads="1"/>
        </cdr:cNvSpPr>
      </cdr:nvSpPr>
      <cdr:spPr bwMode="auto">
        <a:xfrm xmlns:a="http://schemas.openxmlformats.org/drawingml/2006/main">
          <a:off x="2412224" y="382877"/>
          <a:ext cx="1475379" cy="3365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0" rIns="0" bIns="32004"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€/kg SG und </a:t>
          </a:r>
        </a:p>
      </cdr:txBody>
    </cdr:sp>
  </cdr:relSizeAnchor>
  <cdr:relSizeAnchor xmlns:cdr="http://schemas.openxmlformats.org/drawingml/2006/chartDrawing">
    <cdr:from>
      <cdr:x>0.22756</cdr:x>
      <cdr:y>0.07666</cdr:y>
    </cdr:from>
    <cdr:to>
      <cdr:x>0.29888</cdr:x>
      <cdr:y>0.14307</cdr:y>
    </cdr:to>
    <cdr:sp macro="" textlink="' ÖKOZS-Aufzf..-Mast'!$D$87">
      <cdr:nvSpPr>
        <cdr:cNvPr id="4" name="Text Box 3"/>
        <cdr:cNvSpPr txBox="1">
          <a:spLocks xmlns:a="http://schemas.openxmlformats.org/drawingml/2006/main" noChangeArrowheads="1" noTextEdit="1"/>
        </cdr:cNvSpPr>
      </cdr:nvSpPr>
      <cdr:spPr bwMode="auto">
        <a:xfrm xmlns:a="http://schemas.openxmlformats.org/drawingml/2006/main">
          <a:off x="1896244" y="391503"/>
          <a:ext cx="59431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22D05356-F3F0-492B-B4AD-ED9F581AD101}" type="TxLink">
            <a:rPr lang="de-DE" sz="1650" b="1" i="0" u="none" strike="noStrike" baseline="0">
              <a:solidFill>
                <a:srgbClr val="000000"/>
              </a:solidFill>
              <a:latin typeface="Arial"/>
              <a:cs typeface="Arial"/>
            </a:rPr>
            <a:pPr algn="ctr" rtl="0">
              <a:defRPr sz="1000"/>
            </a:pPr>
            <a:t>3,75</a:t>
          </a:fld>
          <a:endParaRPr lang="de-DE" sz="1650" b="1" i="0" u="none" strike="noStrike" baseline="0">
            <a:solidFill>
              <a:srgbClr val="000000"/>
            </a:solidFill>
            <a:latin typeface="Arial"/>
            <a:cs typeface="Arial"/>
          </a:endParaRPr>
        </a:p>
      </cdr:txBody>
    </cdr:sp>
  </cdr:relSizeAnchor>
  <cdr:relSizeAnchor xmlns:cdr="http://schemas.openxmlformats.org/drawingml/2006/chartDrawing">
    <cdr:from>
      <cdr:x>0.43685</cdr:x>
      <cdr:y>0.08132</cdr:y>
    </cdr:from>
    <cdr:to>
      <cdr:x>0.51863</cdr:x>
      <cdr:y>0.14773</cdr:y>
    </cdr:to>
    <cdr:sp macro="" textlink="' ÖKOZS-Aufzf..-Mast'!$H$86">
      <cdr:nvSpPr>
        <cdr:cNvPr id="5"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140</a:t>
          </a:fld>
          <a:endParaRPr lang="de-DE" sz="1600"/>
        </a:p>
      </cdr:txBody>
    </cdr:sp>
  </cdr:relSizeAnchor>
  <cdr:relSizeAnchor xmlns:cdr="http://schemas.openxmlformats.org/drawingml/2006/chartDrawing">
    <cdr:from>
      <cdr:x>0.49381</cdr:x>
      <cdr:y>0.06309</cdr:y>
    </cdr:from>
    <cdr:to>
      <cdr:x>0.71294</cdr:x>
      <cdr:y>0.13978</cdr:y>
    </cdr:to>
    <cdr:sp macro="" textlink="">
      <cdr:nvSpPr>
        <cdr:cNvPr id="7" name="Text Box 1"/>
        <cdr:cNvSpPr txBox="1">
          <a:spLocks xmlns:a="http://schemas.openxmlformats.org/drawingml/2006/main" noChangeArrowheads="1"/>
        </cdr:cNvSpPr>
      </cdr:nvSpPr>
      <cdr:spPr bwMode="auto">
        <a:xfrm xmlns:a="http://schemas.openxmlformats.org/drawingml/2006/main">
          <a:off x="4114977" y="322208"/>
          <a:ext cx="1826036" cy="3916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45720" tIns="0" rIns="0" bIns="36576"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 28 kg Ferkel</a:t>
          </a:r>
        </a:p>
      </cdr:txBody>
    </cdr:sp>
  </cdr:relSizeAnchor>
  <cdr:relSizeAnchor xmlns:cdr="http://schemas.openxmlformats.org/drawingml/2006/chartDrawing">
    <cdr:from>
      <cdr:x>0.28947</cdr:x>
      <cdr:y>0.07497</cdr:y>
    </cdr:from>
    <cdr:to>
      <cdr:x>0.46652</cdr:x>
      <cdr:y>0.14088</cdr:y>
    </cdr:to>
    <cdr:sp macro="" textlink="">
      <cdr:nvSpPr>
        <cdr:cNvPr id="8" name="Text Box 2"/>
        <cdr:cNvSpPr txBox="1">
          <a:spLocks xmlns:a="http://schemas.openxmlformats.org/drawingml/2006/main" noChangeArrowheads="1"/>
        </cdr:cNvSpPr>
      </cdr:nvSpPr>
      <cdr:spPr bwMode="auto">
        <a:xfrm xmlns:a="http://schemas.openxmlformats.org/drawingml/2006/main">
          <a:off x="2412224" y="382877"/>
          <a:ext cx="1475379" cy="3365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0" rIns="0" bIns="32004"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€/kg SG und </a:t>
          </a:r>
        </a:p>
      </cdr:txBody>
    </cdr:sp>
  </cdr:relSizeAnchor>
  <cdr:relSizeAnchor xmlns:cdr="http://schemas.openxmlformats.org/drawingml/2006/chartDrawing">
    <cdr:from>
      <cdr:x>0.22756</cdr:x>
      <cdr:y>0.07666</cdr:y>
    </cdr:from>
    <cdr:to>
      <cdr:x>0.29888</cdr:x>
      <cdr:y>0.14307</cdr:y>
    </cdr:to>
    <cdr:sp macro="" textlink="' ÖKOZS-Aufzf..-Mast'!$D$87">
      <cdr:nvSpPr>
        <cdr:cNvPr id="9" name="Text Box 3"/>
        <cdr:cNvSpPr txBox="1">
          <a:spLocks xmlns:a="http://schemas.openxmlformats.org/drawingml/2006/main" noChangeArrowheads="1" noTextEdit="1"/>
        </cdr:cNvSpPr>
      </cdr:nvSpPr>
      <cdr:spPr bwMode="auto">
        <a:xfrm xmlns:a="http://schemas.openxmlformats.org/drawingml/2006/main">
          <a:off x="1896244" y="391503"/>
          <a:ext cx="59431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22D05356-F3F0-492B-B4AD-ED9F581AD101}" type="TxLink">
            <a:rPr lang="de-DE" sz="1650" b="1" i="0" u="none" strike="noStrike" baseline="0">
              <a:solidFill>
                <a:srgbClr val="000000"/>
              </a:solidFill>
              <a:latin typeface="Arial"/>
              <a:cs typeface="Arial"/>
            </a:rPr>
            <a:pPr algn="ctr" rtl="0">
              <a:defRPr sz="1000"/>
            </a:pPr>
            <a:t>3,75</a:t>
          </a:fld>
          <a:endParaRPr lang="de-DE" sz="1650" b="1" i="0" u="none" strike="noStrike" baseline="0">
            <a:solidFill>
              <a:srgbClr val="000000"/>
            </a:solidFill>
            <a:latin typeface="Arial"/>
            <a:cs typeface="Arial"/>
          </a:endParaRPr>
        </a:p>
      </cdr:txBody>
    </cdr:sp>
  </cdr:relSizeAnchor>
  <cdr:relSizeAnchor xmlns:cdr="http://schemas.openxmlformats.org/drawingml/2006/chartDrawing">
    <cdr:from>
      <cdr:x>0.43685</cdr:x>
      <cdr:y>0.08132</cdr:y>
    </cdr:from>
    <cdr:to>
      <cdr:x>0.51863</cdr:x>
      <cdr:y>0.14773</cdr:y>
    </cdr:to>
    <cdr:sp macro="" textlink="' ÖKOZS-Aufzf..-Mast'!$H$86">
      <cdr:nvSpPr>
        <cdr:cNvPr id="10"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140</a:t>
          </a:fld>
          <a:endParaRPr lang="de-DE" sz="1600"/>
        </a:p>
      </cdr:txBody>
    </cdr:sp>
  </cdr:relSizeAnchor>
  <cdr:relSizeAnchor xmlns:cdr="http://schemas.openxmlformats.org/drawingml/2006/chartDrawing">
    <cdr:from>
      <cdr:x>0.49381</cdr:x>
      <cdr:y>0.06309</cdr:y>
    </cdr:from>
    <cdr:to>
      <cdr:x>0.71294</cdr:x>
      <cdr:y>0.13978</cdr:y>
    </cdr:to>
    <cdr:sp macro="" textlink="">
      <cdr:nvSpPr>
        <cdr:cNvPr id="11" name="Text Box 1"/>
        <cdr:cNvSpPr txBox="1">
          <a:spLocks xmlns:a="http://schemas.openxmlformats.org/drawingml/2006/main" noChangeArrowheads="1"/>
        </cdr:cNvSpPr>
      </cdr:nvSpPr>
      <cdr:spPr bwMode="auto">
        <a:xfrm xmlns:a="http://schemas.openxmlformats.org/drawingml/2006/main">
          <a:off x="4114977" y="322208"/>
          <a:ext cx="1826036" cy="3916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45720" tIns="0" rIns="0" bIns="36576"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 28 kg Ferkel</a:t>
          </a:r>
        </a:p>
      </cdr:txBody>
    </cdr:sp>
  </cdr:relSizeAnchor>
  <cdr:relSizeAnchor xmlns:cdr="http://schemas.openxmlformats.org/drawingml/2006/chartDrawing">
    <cdr:from>
      <cdr:x>0.28947</cdr:x>
      <cdr:y>0.07497</cdr:y>
    </cdr:from>
    <cdr:to>
      <cdr:x>0.46652</cdr:x>
      <cdr:y>0.14088</cdr:y>
    </cdr:to>
    <cdr:sp macro="" textlink="">
      <cdr:nvSpPr>
        <cdr:cNvPr id="12" name="Text Box 2"/>
        <cdr:cNvSpPr txBox="1">
          <a:spLocks xmlns:a="http://schemas.openxmlformats.org/drawingml/2006/main" noChangeArrowheads="1"/>
        </cdr:cNvSpPr>
      </cdr:nvSpPr>
      <cdr:spPr bwMode="auto">
        <a:xfrm xmlns:a="http://schemas.openxmlformats.org/drawingml/2006/main">
          <a:off x="2412224" y="382877"/>
          <a:ext cx="1475379" cy="3365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0" rIns="0" bIns="32004" anchor="b" upright="1"/>
        <a:lstStyle xmlns:a="http://schemas.openxmlformats.org/drawingml/2006/main"/>
        <a:p xmlns:a="http://schemas.openxmlformats.org/drawingml/2006/main">
          <a:pPr algn="l" rtl="0">
            <a:defRPr sz="1000"/>
          </a:pPr>
          <a:r>
            <a:rPr lang="de-DE" sz="1650" b="1" i="0" u="none" strike="noStrike" baseline="0">
              <a:solidFill>
                <a:srgbClr val="000000"/>
              </a:solidFill>
              <a:latin typeface="Arial"/>
              <a:cs typeface="Arial"/>
            </a:rPr>
            <a:t> €/kg SG und </a:t>
          </a:r>
        </a:p>
      </cdr:txBody>
    </cdr:sp>
  </cdr:relSizeAnchor>
  <cdr:relSizeAnchor xmlns:cdr="http://schemas.openxmlformats.org/drawingml/2006/chartDrawing">
    <cdr:from>
      <cdr:x>0.22756</cdr:x>
      <cdr:y>0.07666</cdr:y>
    </cdr:from>
    <cdr:to>
      <cdr:x>0.29888</cdr:x>
      <cdr:y>0.14307</cdr:y>
    </cdr:to>
    <cdr:sp macro="" textlink="' ÖKOZS-Aufzf..-Mast'!$D$87">
      <cdr:nvSpPr>
        <cdr:cNvPr id="13" name="Text Box 3"/>
        <cdr:cNvSpPr txBox="1">
          <a:spLocks xmlns:a="http://schemas.openxmlformats.org/drawingml/2006/main" noChangeArrowheads="1" noTextEdit="1"/>
        </cdr:cNvSpPr>
      </cdr:nvSpPr>
      <cdr:spPr bwMode="auto">
        <a:xfrm xmlns:a="http://schemas.openxmlformats.org/drawingml/2006/main">
          <a:off x="1896244" y="391503"/>
          <a:ext cx="59431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22D05356-F3F0-492B-B4AD-ED9F581AD101}" type="TxLink">
            <a:rPr lang="de-DE" sz="1650" b="1" i="0" u="none" strike="noStrike" baseline="0">
              <a:solidFill>
                <a:srgbClr val="000000"/>
              </a:solidFill>
              <a:latin typeface="Arial"/>
              <a:cs typeface="Arial"/>
            </a:rPr>
            <a:pPr algn="ctr" rtl="0">
              <a:defRPr sz="1000"/>
            </a:pPr>
            <a:t>3,75</a:t>
          </a:fld>
          <a:endParaRPr lang="de-DE" sz="1650" b="1" i="0" u="none" strike="noStrike" baseline="0">
            <a:solidFill>
              <a:srgbClr val="000000"/>
            </a:solidFill>
            <a:latin typeface="Arial"/>
            <a:cs typeface="Arial"/>
          </a:endParaRPr>
        </a:p>
      </cdr:txBody>
    </cdr:sp>
  </cdr:relSizeAnchor>
  <cdr:relSizeAnchor xmlns:cdr="http://schemas.openxmlformats.org/drawingml/2006/chartDrawing">
    <cdr:from>
      <cdr:x>0.43685</cdr:x>
      <cdr:y>0.08132</cdr:y>
    </cdr:from>
    <cdr:to>
      <cdr:x>0.51863</cdr:x>
      <cdr:y>0.14773</cdr:y>
    </cdr:to>
    <cdr:sp macro="" textlink="' ÖKOZS-Aufzf..-Mast'!$H$86">
      <cdr:nvSpPr>
        <cdr:cNvPr id="14" name="Text Box 4"/>
        <cdr:cNvSpPr txBox="1">
          <a:spLocks xmlns:a="http://schemas.openxmlformats.org/drawingml/2006/main" noChangeArrowheads="1" noTextEdit="1"/>
        </cdr:cNvSpPr>
      </cdr:nvSpPr>
      <cdr:spPr bwMode="auto">
        <a:xfrm xmlns:a="http://schemas.openxmlformats.org/drawingml/2006/main">
          <a:off x="3640348" y="415294"/>
          <a:ext cx="681487" cy="3391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96F73279-EC86-4452-B790-88DE867AC2C4}" type="TxLink">
            <a:rPr lang="en-US" sz="1600" b="1" i="0" u="none" strike="noStrike" baseline="0">
              <a:solidFill>
                <a:srgbClr val="000000"/>
              </a:solidFill>
              <a:latin typeface="Arial"/>
              <a:cs typeface="Arial"/>
            </a:rPr>
            <a:pPr algn="ctr" rtl="0">
              <a:defRPr sz="1000"/>
            </a:pPr>
            <a:t>140</a:t>
          </a:fld>
          <a:endParaRPr lang="de-DE" sz="1600"/>
        </a:p>
      </cdr:txBody>
    </cdr:sp>
  </cdr:relSizeAnchor>
  <cdr:relSizeAnchor xmlns:cdr="http://schemas.openxmlformats.org/drawingml/2006/chartDrawing">
    <cdr:from>
      <cdr:x>0.81884</cdr:x>
      <cdr:y>0.15878</cdr:y>
    </cdr:from>
    <cdr:to>
      <cdr:x>0.92857</cdr:x>
      <cdr:y>0.33784</cdr:y>
    </cdr:to>
    <cdr:sp macro="" textlink="">
      <cdr:nvSpPr>
        <cdr:cNvPr id="15" name="Textfeld 14"/>
        <cdr:cNvSpPr txBox="1"/>
      </cdr:nvSpPr>
      <cdr:spPr>
        <a:xfrm xmlns:a="http://schemas.openxmlformats.org/drawingml/2006/main">
          <a:off x="6823494" y="81088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 ÖKOZS-Aufzf..-Mast'!$D$19">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140</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200" b="1" i="0" u="none" strike="noStrike" baseline="0">
              <a:solidFill>
                <a:srgbClr val="000000"/>
              </a:solidFill>
              <a:latin typeface="Arial"/>
              <a:cs typeface="Arial"/>
            </a:rPr>
            <a:t>€ je 28 kg Ferkel</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69011</xdr:colOff>
      <xdr:row>49</xdr:row>
      <xdr:rowOff>43132</xdr:rowOff>
    </xdr:from>
    <xdr:to>
      <xdr:col>6</xdr:col>
      <xdr:colOff>1035170</xdr:colOff>
      <xdr:row>82</xdr:row>
      <xdr:rowOff>112143</xdr:rowOff>
    </xdr:to>
    <xdr:graphicFrame macro="">
      <xdr:nvGraphicFramePr>
        <xdr:cNvPr id="701855" name="Diagram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69011</xdr:rowOff>
    </xdr:from>
    <xdr:to>
      <xdr:col>7</xdr:col>
      <xdr:colOff>0</xdr:colOff>
      <xdr:row>48</xdr:row>
      <xdr:rowOff>155275</xdr:rowOff>
    </xdr:to>
    <xdr:graphicFrame macro="">
      <xdr:nvGraphicFramePr>
        <xdr:cNvPr id="701856" name="Diagram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69011</xdr:colOff>
      <xdr:row>0</xdr:row>
      <xdr:rowOff>155275</xdr:rowOff>
    </xdr:from>
    <xdr:to>
      <xdr:col>1</xdr:col>
      <xdr:colOff>828136</xdr:colOff>
      <xdr:row>3</xdr:row>
      <xdr:rowOff>43132</xdr:rowOff>
    </xdr:to>
    <xdr:pic>
      <xdr:nvPicPr>
        <xdr:cNvPr id="701857"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902" y="155275"/>
          <a:ext cx="759124" cy="577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530524</xdr:colOff>
      <xdr:row>22</xdr:row>
      <xdr:rowOff>81951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6</xdr:col>
      <xdr:colOff>483079</xdr:colOff>
      <xdr:row>45</xdr:row>
      <xdr:rowOff>81951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showGridLines="0" tabSelected="1" view="pageLayout" zoomScaleNormal="75" workbookViewId="0">
      <selection activeCell="F12" sqref="F12"/>
    </sheetView>
  </sheetViews>
  <sheetFormatPr baseColWidth="10" defaultColWidth="11.33203125" defaultRowHeight="13.2" x14ac:dyDescent="0.25"/>
  <cols>
    <col min="1" max="1" width="1.33203125" style="48" customWidth="1"/>
    <col min="2" max="2" width="33.33203125" style="12" customWidth="1"/>
    <col min="3" max="3" width="11.77734375" style="12" customWidth="1"/>
    <col min="4" max="4" width="11.109375" style="12" customWidth="1"/>
    <col min="5" max="5" width="46.6640625" style="12" customWidth="1"/>
    <col min="6" max="6" width="19.21875" style="12" customWidth="1"/>
    <col min="7" max="7" width="11.109375" style="12" customWidth="1"/>
    <col min="8" max="8" width="22.77734375" style="12" customWidth="1"/>
    <col min="9" max="9" width="9.77734375" style="12" customWidth="1"/>
    <col min="10" max="10" width="8.33203125" style="12" customWidth="1"/>
    <col min="11" max="11" width="2.33203125" style="1" customWidth="1"/>
    <col min="12" max="12" width="8.88671875" style="1" customWidth="1"/>
    <col min="13" max="16384" width="11.33203125" style="1"/>
  </cols>
  <sheetData>
    <row r="1" spans="1:13" ht="7.5" customHeight="1" thickBot="1" x14ac:dyDescent="0.35">
      <c r="B1" s="11"/>
      <c r="C1" s="11"/>
      <c r="D1" s="11"/>
      <c r="E1" s="11"/>
      <c r="F1" s="11"/>
      <c r="G1" s="11"/>
      <c r="H1" s="11"/>
      <c r="I1" s="11"/>
      <c r="J1" s="11"/>
      <c r="K1" s="3"/>
      <c r="L1" s="3"/>
      <c r="M1" s="3"/>
    </row>
    <row r="2" spans="1:13" ht="72" customHeight="1" x14ac:dyDescent="0.3">
      <c r="B2" s="617"/>
      <c r="C2" s="671" t="s">
        <v>271</v>
      </c>
      <c r="D2" s="671"/>
      <c r="E2" s="671"/>
      <c r="F2" s="671"/>
      <c r="G2" s="618"/>
      <c r="H2" s="616"/>
      <c r="I2" s="11"/>
      <c r="J2" s="11"/>
      <c r="K2" s="3"/>
      <c r="L2" s="3"/>
      <c r="M2" s="3"/>
    </row>
    <row r="3" spans="1:13" ht="32.549999999999997" customHeight="1" thickBot="1" x14ac:dyDescent="0.35">
      <c r="B3" s="676" t="s">
        <v>333</v>
      </c>
      <c r="C3" s="677"/>
      <c r="D3" s="677"/>
      <c r="E3" s="677"/>
      <c r="F3" s="677"/>
      <c r="G3" s="677"/>
      <c r="H3" s="403" t="str">
        <f>' ÖKOZS-Aufzf..-Mast'!G2</f>
        <v xml:space="preserve">Vers. 01/2018
</v>
      </c>
      <c r="I3" s="11"/>
      <c r="J3" s="11"/>
      <c r="K3" s="3"/>
      <c r="L3" s="3"/>
      <c r="M3" s="3"/>
    </row>
    <row r="4" spans="1:13" s="56" customFormat="1" ht="7.5" customHeight="1" thickBot="1" x14ac:dyDescent="0.3">
      <c r="A4" s="54"/>
    </row>
    <row r="5" spans="1:13" s="56" customFormat="1" ht="22.8" x14ac:dyDescent="0.25">
      <c r="A5" s="54"/>
      <c r="B5" s="398" t="s">
        <v>145</v>
      </c>
      <c r="C5" s="399"/>
      <c r="D5" s="399"/>
      <c r="E5" s="399"/>
      <c r="F5" s="399"/>
      <c r="G5" s="399"/>
      <c r="H5" s="400"/>
    </row>
    <row r="6" spans="1:13" s="56" customFormat="1" ht="20.399999999999999" x14ac:dyDescent="0.25">
      <c r="A6" s="54"/>
      <c r="B6" s="441" t="s">
        <v>190</v>
      </c>
      <c r="C6" s="442"/>
      <c r="D6" s="442"/>
      <c r="E6" s="442"/>
      <c r="F6" s="443"/>
      <c r="G6" s="442"/>
      <c r="H6" s="444"/>
    </row>
    <row r="7" spans="1:13" s="56" customFormat="1" ht="4.8" customHeight="1" x14ac:dyDescent="0.25">
      <c r="A7" s="54"/>
      <c r="B7" s="441"/>
      <c r="C7" s="442"/>
      <c r="D7" s="442"/>
      <c r="E7" s="442"/>
      <c r="F7" s="443"/>
      <c r="G7" s="442"/>
      <c r="H7" s="444"/>
    </row>
    <row r="8" spans="1:13" s="56" customFormat="1" ht="21" x14ac:dyDescent="0.35">
      <c r="A8" s="54"/>
      <c r="B8" s="441" t="s">
        <v>187</v>
      </c>
      <c r="C8" s="655"/>
      <c r="D8" s="655"/>
      <c r="E8" s="442"/>
      <c r="F8" s="443"/>
      <c r="G8" s="442"/>
      <c r="H8" s="444"/>
      <c r="J8" s="656"/>
      <c r="K8" s="58" t="s">
        <v>310</v>
      </c>
    </row>
    <row r="9" spans="1:13" s="56" customFormat="1" ht="20.399999999999999" x14ac:dyDescent="0.35">
      <c r="B9" s="445" t="s">
        <v>274</v>
      </c>
      <c r="C9" s="446"/>
      <c r="D9" s="442"/>
      <c r="E9" s="442"/>
      <c r="F9" s="443"/>
      <c r="G9" s="442"/>
      <c r="H9" s="444"/>
    </row>
    <row r="10" spans="1:13" s="56" customFormat="1" ht="20.399999999999999" x14ac:dyDescent="0.35">
      <c r="B10" s="669" t="s">
        <v>331</v>
      </c>
      <c r="C10" s="446"/>
      <c r="D10" s="442"/>
      <c r="E10" s="442"/>
      <c r="F10" s="443"/>
      <c r="G10" s="442"/>
      <c r="H10" s="444"/>
    </row>
    <row r="11" spans="1:13" s="56" customFormat="1" ht="20.399999999999999" x14ac:dyDescent="0.35">
      <c r="B11" s="445" t="s">
        <v>275</v>
      </c>
      <c r="C11" s="447"/>
      <c r="D11" s="447"/>
      <c r="E11" s="447"/>
      <c r="F11" s="447"/>
      <c r="G11" s="447"/>
      <c r="H11" s="448"/>
    </row>
    <row r="12" spans="1:13" s="56" customFormat="1" ht="21" x14ac:dyDescent="0.25">
      <c r="B12" s="449" t="s">
        <v>276</v>
      </c>
      <c r="C12" s="450"/>
      <c r="D12" s="447"/>
      <c r="E12" s="447"/>
      <c r="F12" s="447"/>
      <c r="G12" s="447"/>
      <c r="H12" s="448"/>
    </row>
    <row r="13" spans="1:13" s="56" customFormat="1" ht="20.399999999999999" x14ac:dyDescent="0.35">
      <c r="B13" s="445" t="s">
        <v>277</v>
      </c>
      <c r="C13" s="447"/>
      <c r="D13" s="447"/>
      <c r="E13" s="447"/>
      <c r="F13" s="447"/>
      <c r="G13" s="447"/>
      <c r="H13" s="448"/>
    </row>
    <row r="14" spans="1:13" s="56" customFormat="1" ht="4.8" customHeight="1" x14ac:dyDescent="0.35">
      <c r="B14" s="445"/>
      <c r="C14" s="447"/>
      <c r="D14" s="447"/>
      <c r="E14" s="447"/>
      <c r="F14" s="447"/>
      <c r="G14" s="447"/>
      <c r="H14" s="448"/>
    </row>
    <row r="15" spans="1:13" s="56" customFormat="1" ht="21" x14ac:dyDescent="0.25">
      <c r="A15" s="54"/>
      <c r="B15" s="449" t="s">
        <v>278</v>
      </c>
      <c r="C15" s="447"/>
      <c r="D15" s="447"/>
      <c r="E15" s="447"/>
      <c r="F15" s="447"/>
      <c r="G15" s="447"/>
      <c r="H15" s="448"/>
    </row>
    <row r="16" spans="1:13" s="56" customFormat="1" ht="20.399999999999999" x14ac:dyDescent="0.35">
      <c r="A16" s="54"/>
      <c r="B16" s="298" t="s">
        <v>189</v>
      </c>
      <c r="C16" s="299"/>
      <c r="D16" s="299"/>
      <c r="E16" s="299"/>
      <c r="F16" s="299"/>
      <c r="G16" s="299"/>
      <c r="H16" s="451"/>
    </row>
    <row r="17" spans="1:14" s="56" customFormat="1" ht="20.399999999999999" x14ac:dyDescent="0.35">
      <c r="A17" s="54"/>
      <c r="B17" s="298" t="s">
        <v>188</v>
      </c>
      <c r="C17" s="299"/>
      <c r="D17" s="299"/>
      <c r="E17" s="299"/>
      <c r="F17" s="299"/>
      <c r="G17" s="299"/>
      <c r="H17" s="451"/>
    </row>
    <row r="18" spans="1:14" s="56" customFormat="1" ht="20.399999999999999" x14ac:dyDescent="0.35">
      <c r="A18" s="54"/>
      <c r="B18" s="672" t="s">
        <v>273</v>
      </c>
      <c r="C18" s="673"/>
      <c r="D18" s="673"/>
      <c r="E18" s="673"/>
      <c r="F18" s="673"/>
      <c r="G18" s="673"/>
      <c r="H18" s="674"/>
    </row>
    <row r="19" spans="1:14" s="56" customFormat="1" ht="20.399999999999999" x14ac:dyDescent="0.35">
      <c r="A19" s="54"/>
      <c r="B19" s="298" t="s">
        <v>52</v>
      </c>
      <c r="C19" s="299"/>
      <c r="D19" s="299"/>
      <c r="E19" s="299"/>
      <c r="F19" s="614"/>
      <c r="G19" s="614"/>
      <c r="H19" s="615"/>
    </row>
    <row r="20" spans="1:14" s="56" customFormat="1" ht="20.399999999999999" x14ac:dyDescent="0.35">
      <c r="A20" s="54"/>
      <c r="B20" s="298" t="s">
        <v>291</v>
      </c>
      <c r="C20" s="299"/>
      <c r="D20" s="299"/>
      <c r="E20" s="299"/>
      <c r="F20" s="299"/>
      <c r="G20" s="299"/>
      <c r="H20" s="451"/>
    </row>
    <row r="21" spans="1:14" s="56" customFormat="1" ht="6.15" customHeight="1" x14ac:dyDescent="0.35">
      <c r="A21" s="54"/>
      <c r="B21" s="298"/>
      <c r="C21" s="299"/>
      <c r="D21" s="299"/>
      <c r="E21" s="299"/>
      <c r="F21" s="299"/>
      <c r="G21" s="299"/>
      <c r="H21" s="451"/>
    </row>
    <row r="22" spans="1:14" s="56" customFormat="1" ht="21" x14ac:dyDescent="0.4">
      <c r="A22" s="54"/>
      <c r="B22" s="298" t="s">
        <v>208</v>
      </c>
      <c r="C22" s="299"/>
      <c r="D22" s="299"/>
      <c r="E22" s="299"/>
      <c r="F22" s="299"/>
      <c r="G22" s="299"/>
      <c r="H22" s="451"/>
    </row>
    <row r="23" spans="1:14" s="56" customFormat="1" ht="20.399999999999999" x14ac:dyDescent="0.35">
      <c r="A23" s="54"/>
      <c r="B23" s="298" t="s">
        <v>238</v>
      </c>
      <c r="C23" s="299"/>
      <c r="D23" s="299"/>
      <c r="E23" s="299"/>
      <c r="F23" s="299"/>
      <c r="G23" s="299"/>
      <c r="H23" s="451"/>
    </row>
    <row r="24" spans="1:14" s="56" customFormat="1" ht="20.399999999999999" x14ac:dyDescent="0.35">
      <c r="A24" s="54"/>
      <c r="B24" s="298" t="s">
        <v>272</v>
      </c>
      <c r="C24" s="299"/>
      <c r="D24" s="299"/>
      <c r="E24" s="299"/>
      <c r="F24" s="299"/>
      <c r="G24" s="299"/>
      <c r="H24" s="451"/>
    </row>
    <row r="25" spans="1:14" s="56" customFormat="1" ht="10.199999999999999" customHeight="1" x14ac:dyDescent="0.35">
      <c r="A25" s="54"/>
      <c r="B25" s="298"/>
      <c r="C25" s="299"/>
      <c r="D25" s="299"/>
      <c r="E25" s="299"/>
      <c r="F25" s="299"/>
      <c r="G25" s="299"/>
      <c r="H25" s="451"/>
    </row>
    <row r="26" spans="1:14" s="56" customFormat="1" ht="22.8" x14ac:dyDescent="0.25">
      <c r="A26" s="54"/>
      <c r="B26" s="401" t="s">
        <v>144</v>
      </c>
      <c r="C26" s="396"/>
      <c r="D26" s="396"/>
      <c r="E26" s="396"/>
      <c r="F26" s="396"/>
      <c r="G26" s="397"/>
      <c r="H26" s="402"/>
    </row>
    <row r="27" spans="1:14" s="56" customFormat="1" ht="27.15" customHeight="1" x14ac:dyDescent="0.25">
      <c r="A27" s="54"/>
      <c r="B27" s="452" t="s">
        <v>146</v>
      </c>
      <c r="C27" s="453"/>
      <c r="D27" s="453"/>
      <c r="E27" s="453"/>
      <c r="F27" s="453"/>
      <c r="G27" s="454"/>
      <c r="H27" s="455"/>
    </row>
    <row r="28" spans="1:14" s="56" customFormat="1" ht="21" hidden="1" x14ac:dyDescent="0.25">
      <c r="A28" s="54"/>
      <c r="B28" s="456" t="s">
        <v>175</v>
      </c>
      <c r="C28" s="457"/>
      <c r="D28" s="457"/>
      <c r="E28" s="457"/>
      <c r="F28" s="457"/>
      <c r="G28" s="678" t="s">
        <v>270</v>
      </c>
      <c r="H28" s="679"/>
      <c r="J28"/>
      <c r="K28"/>
      <c r="L28"/>
    </row>
    <row r="29" spans="1:14" s="56" customFormat="1" ht="21" x14ac:dyDescent="0.25">
      <c r="A29" s="54"/>
      <c r="B29" s="456" t="s">
        <v>160</v>
      </c>
      <c r="C29" s="457"/>
      <c r="D29" s="457"/>
      <c r="E29" s="457"/>
      <c r="F29" s="457"/>
      <c r="G29" s="678" t="s">
        <v>161</v>
      </c>
      <c r="H29" s="679"/>
      <c r="K29" s="670" t="s">
        <v>311</v>
      </c>
      <c r="L29" s="670"/>
      <c r="M29" s="670"/>
      <c r="N29" s="670"/>
    </row>
    <row r="30" spans="1:14" s="56" customFormat="1" ht="28.5" customHeight="1" x14ac:dyDescent="0.25">
      <c r="A30" s="54"/>
      <c r="B30" s="452" t="s">
        <v>148</v>
      </c>
      <c r="C30" s="453"/>
      <c r="D30" s="453"/>
      <c r="E30" s="453"/>
      <c r="F30" s="453"/>
      <c r="G30" s="460"/>
      <c r="H30" s="461"/>
      <c r="K30" s="670"/>
      <c r="L30" s="670"/>
      <c r="M30" s="670"/>
      <c r="N30" s="670"/>
    </row>
    <row r="31" spans="1:14" s="56" customFormat="1" ht="21" x14ac:dyDescent="0.25">
      <c r="A31" s="54"/>
      <c r="B31" s="456" t="s">
        <v>147</v>
      </c>
      <c r="C31" s="457"/>
      <c r="D31" s="457"/>
      <c r="E31" s="457"/>
      <c r="F31" s="457"/>
      <c r="G31" s="678" t="s">
        <v>149</v>
      </c>
      <c r="H31" s="679"/>
      <c r="K31" s="670"/>
      <c r="L31" s="670"/>
      <c r="M31" s="670"/>
      <c r="N31" s="670"/>
    </row>
    <row r="32" spans="1:14" s="56" customFormat="1" ht="21" x14ac:dyDescent="0.25">
      <c r="A32" s="54"/>
      <c r="B32" s="456" t="s">
        <v>209</v>
      </c>
      <c r="C32" s="457"/>
      <c r="D32" s="457"/>
      <c r="E32" s="457"/>
      <c r="F32" s="457"/>
      <c r="G32" s="678" t="s">
        <v>151</v>
      </c>
      <c r="H32" s="679"/>
      <c r="K32" s="670"/>
      <c r="L32" s="670"/>
      <c r="M32" s="670"/>
      <c r="N32" s="670"/>
    </row>
    <row r="33" spans="1:16" s="56" customFormat="1" ht="25.2" customHeight="1" thickBot="1" x14ac:dyDescent="0.3">
      <c r="A33" s="54"/>
      <c r="B33" s="458" t="s">
        <v>152</v>
      </c>
      <c r="C33" s="459"/>
      <c r="D33" s="459"/>
      <c r="E33" s="459"/>
      <c r="F33" s="459"/>
      <c r="G33" s="680" t="s">
        <v>150</v>
      </c>
      <c r="H33" s="681"/>
      <c r="K33" s="670"/>
      <c r="L33" s="670"/>
      <c r="M33" s="670"/>
      <c r="N33" s="670"/>
    </row>
    <row r="34" spans="1:16" ht="31.95" customHeight="1" x14ac:dyDescent="0.3">
      <c r="B34" s="53" t="s">
        <v>330</v>
      </c>
      <c r="C34" s="55"/>
      <c r="D34" s="55"/>
      <c r="E34" s="56"/>
      <c r="F34" s="56"/>
      <c r="G34" s="56"/>
      <c r="H34" s="295"/>
      <c r="I34" s="1"/>
      <c r="J34" s="56"/>
      <c r="K34" s="670"/>
      <c r="L34" s="670"/>
      <c r="M34" s="670"/>
      <c r="N34" s="670"/>
    </row>
    <row r="35" spans="1:16" ht="100.2" customHeight="1" x14ac:dyDescent="0.25">
      <c r="B35" s="675" t="s">
        <v>332</v>
      </c>
      <c r="C35" s="675"/>
      <c r="D35" s="675"/>
      <c r="E35" s="675"/>
      <c r="F35" s="675"/>
      <c r="G35" s="675"/>
      <c r="H35" s="675"/>
      <c r="I35" s="1"/>
      <c r="J35" s="1"/>
    </row>
    <row r="36" spans="1:16" ht="23.1" customHeight="1" x14ac:dyDescent="0.25">
      <c r="B36" s="1"/>
      <c r="C36" s="1"/>
      <c r="D36" s="1"/>
      <c r="E36" s="1"/>
      <c r="F36" s="1"/>
      <c r="G36" s="1"/>
      <c r="H36" s="1"/>
      <c r="I36" s="1"/>
      <c r="J36" s="1"/>
    </row>
    <row r="37" spans="1:16" ht="23.1" customHeight="1" x14ac:dyDescent="0.25">
      <c r="B37" s="1"/>
      <c r="C37" s="1"/>
      <c r="D37" s="1"/>
      <c r="E37" s="1"/>
      <c r="F37" s="1"/>
      <c r="G37"/>
      <c r="H37"/>
      <c r="I37"/>
      <c r="J37"/>
      <c r="K37"/>
      <c r="L37"/>
      <c r="M37"/>
      <c r="N37"/>
      <c r="O37"/>
      <c r="P37"/>
    </row>
    <row r="38" spans="1:16" ht="23.1" customHeight="1" x14ac:dyDescent="0.25">
      <c r="B38" s="1"/>
      <c r="C38" s="1"/>
      <c r="D38" s="1"/>
      <c r="E38" s="1"/>
      <c r="F38" s="1"/>
      <c r="G38" s="1"/>
      <c r="H38" s="1"/>
      <c r="I38" s="1"/>
      <c r="J38" s="1"/>
    </row>
    <row r="39" spans="1:16" ht="23.1" customHeight="1" x14ac:dyDescent="0.25">
      <c r="B39" s="1"/>
      <c r="C39" s="1"/>
      <c r="D39" s="1"/>
      <c r="E39" s="1"/>
      <c r="F39" s="1"/>
      <c r="G39" s="1"/>
      <c r="H39" s="1"/>
      <c r="I39" s="1"/>
      <c r="J39" s="1"/>
    </row>
    <row r="40" spans="1:16" ht="23.1" customHeight="1" x14ac:dyDescent="0.25">
      <c r="B40" s="1"/>
      <c r="C40" s="1"/>
      <c r="D40" s="1"/>
      <c r="E40" s="1"/>
      <c r="F40" s="1"/>
      <c r="G40" s="1"/>
      <c r="H40" s="1"/>
      <c r="I40" s="1"/>
      <c r="J40" s="1"/>
    </row>
    <row r="41" spans="1:16" ht="23.1" customHeight="1" x14ac:dyDescent="0.25">
      <c r="B41"/>
      <c r="C41"/>
      <c r="D41"/>
      <c r="E41"/>
      <c r="F41"/>
      <c r="G41"/>
      <c r="H41"/>
      <c r="I41"/>
      <c r="J41"/>
    </row>
    <row r="42" spans="1:16" ht="23.1" customHeight="1" x14ac:dyDescent="0.25">
      <c r="B42"/>
      <c r="C42"/>
      <c r="D42"/>
      <c r="E42"/>
      <c r="F42"/>
      <c r="G42"/>
      <c r="H42"/>
      <c r="I42"/>
      <c r="J42"/>
    </row>
    <row r="43" spans="1:16" ht="23.1" customHeight="1" x14ac:dyDescent="0.25">
      <c r="B43"/>
      <c r="C43"/>
      <c r="D43"/>
      <c r="E43"/>
      <c r="F43"/>
      <c r="G43"/>
      <c r="H43"/>
      <c r="I43"/>
      <c r="J43"/>
    </row>
    <row r="44" spans="1:16" ht="23.1" customHeight="1" x14ac:dyDescent="0.25">
      <c r="B44"/>
      <c r="C44"/>
      <c r="D44"/>
      <c r="E44"/>
      <c r="F44"/>
      <c r="G44"/>
      <c r="H44"/>
      <c r="I44"/>
      <c r="J44"/>
    </row>
    <row r="45" spans="1:16" ht="31.65" customHeight="1" x14ac:dyDescent="0.25">
      <c r="B45"/>
      <c r="C45"/>
      <c r="D45"/>
      <c r="E45"/>
      <c r="F45"/>
      <c r="G45"/>
      <c r="H45"/>
      <c r="I45"/>
      <c r="J45"/>
    </row>
    <row r="46" spans="1:16" ht="23.1" customHeight="1" x14ac:dyDescent="0.25">
      <c r="B46"/>
      <c r="C46"/>
      <c r="D46"/>
      <c r="E46"/>
      <c r="F46"/>
      <c r="G46"/>
      <c r="H46"/>
      <c r="I46"/>
      <c r="J46"/>
    </row>
    <row r="47" spans="1:16" ht="23.1" customHeight="1" x14ac:dyDescent="0.25">
      <c r="B47"/>
      <c r="C47"/>
      <c r="D47"/>
      <c r="E47"/>
      <c r="F47"/>
      <c r="G47"/>
      <c r="H47"/>
      <c r="I47"/>
      <c r="J47"/>
    </row>
    <row r="48" spans="1:16" ht="27.75" customHeight="1" x14ac:dyDescent="0.25">
      <c r="B48"/>
      <c r="C48"/>
      <c r="D48"/>
      <c r="E48"/>
      <c r="F48"/>
      <c r="G48"/>
      <c r="H48"/>
      <c r="I48"/>
      <c r="J48"/>
    </row>
    <row r="49" spans="2:10" ht="26.4" customHeight="1" x14ac:dyDescent="0.25">
      <c r="B49"/>
      <c r="C49"/>
      <c r="D49"/>
      <c r="E49"/>
      <c r="F49"/>
      <c r="G49"/>
      <c r="H49"/>
      <c r="I49"/>
      <c r="J49"/>
    </row>
    <row r="50" spans="2:10" ht="24.75" customHeight="1" x14ac:dyDescent="0.25">
      <c r="B50"/>
      <c r="C50"/>
      <c r="D50"/>
      <c r="E50"/>
      <c r="F50"/>
      <c r="G50"/>
      <c r="H50"/>
      <c r="I50"/>
      <c r="J50"/>
    </row>
    <row r="51" spans="2:10" ht="39.299999999999997" customHeight="1" x14ac:dyDescent="0.25">
      <c r="B51"/>
      <c r="C51"/>
      <c r="D51"/>
      <c r="E51"/>
      <c r="F51"/>
      <c r="G51"/>
      <c r="H51"/>
      <c r="I51"/>
      <c r="J51"/>
    </row>
    <row r="52" spans="2:10" ht="38.25" customHeight="1" x14ac:dyDescent="0.25">
      <c r="B52"/>
      <c r="C52"/>
      <c r="D52"/>
      <c r="E52"/>
      <c r="F52"/>
      <c r="G52"/>
      <c r="H52"/>
      <c r="I52"/>
      <c r="J52"/>
    </row>
    <row r="53" spans="2:10" ht="31.65" customHeight="1" x14ac:dyDescent="0.25">
      <c r="B53"/>
      <c r="C53"/>
      <c r="D53"/>
      <c r="E53"/>
      <c r="F53"/>
      <c r="G53"/>
      <c r="H53"/>
      <c r="I53"/>
      <c r="J53"/>
    </row>
    <row r="54" spans="2:10" ht="23.1" customHeight="1" x14ac:dyDescent="0.25">
      <c r="B54"/>
      <c r="C54"/>
      <c r="D54"/>
      <c r="E54"/>
      <c r="F54"/>
      <c r="G54"/>
      <c r="H54"/>
      <c r="I54"/>
      <c r="J54"/>
    </row>
    <row r="55" spans="2:10" ht="52.5" customHeight="1" x14ac:dyDescent="0.25">
      <c r="B55"/>
      <c r="C55"/>
      <c r="D55"/>
      <c r="E55"/>
      <c r="F55"/>
      <c r="G55"/>
      <c r="H55"/>
      <c r="I55"/>
      <c r="J55"/>
    </row>
    <row r="56" spans="2:10" ht="23.1" customHeight="1" x14ac:dyDescent="0.25">
      <c r="B56"/>
      <c r="C56"/>
      <c r="D56"/>
      <c r="E56"/>
      <c r="F56"/>
      <c r="G56"/>
      <c r="H56"/>
      <c r="I56"/>
      <c r="J56"/>
    </row>
    <row r="57" spans="2:10" ht="23.1" customHeight="1" x14ac:dyDescent="0.25">
      <c r="B57"/>
      <c r="C57"/>
      <c r="D57"/>
      <c r="E57"/>
      <c r="F57"/>
      <c r="G57"/>
      <c r="H57"/>
      <c r="I57"/>
      <c r="J57"/>
    </row>
    <row r="58" spans="2:10" ht="23.1" customHeight="1" x14ac:dyDescent="0.25">
      <c r="B58"/>
      <c r="C58"/>
      <c r="D58"/>
      <c r="E58"/>
      <c r="F58"/>
      <c r="G58"/>
      <c r="H58"/>
      <c r="I58"/>
      <c r="J58"/>
    </row>
    <row r="59" spans="2:10" ht="23.1" customHeight="1" x14ac:dyDescent="0.25">
      <c r="B59"/>
      <c r="C59"/>
      <c r="D59"/>
      <c r="E59"/>
      <c r="F59"/>
      <c r="G59"/>
      <c r="H59"/>
      <c r="I59"/>
      <c r="J59"/>
    </row>
    <row r="60" spans="2:10" ht="23.1" customHeight="1" x14ac:dyDescent="0.25">
      <c r="B60"/>
      <c r="C60"/>
      <c r="D60"/>
      <c r="E60"/>
      <c r="F60"/>
      <c r="G60"/>
      <c r="H60"/>
      <c r="I60"/>
      <c r="J60"/>
    </row>
    <row r="61" spans="2:10" ht="23.1" customHeight="1" x14ac:dyDescent="0.3">
      <c r="B61" s="8"/>
      <c r="C61" s="9"/>
      <c r="D61" s="10"/>
      <c r="E61"/>
      <c r="F61"/>
      <c r="G61"/>
      <c r="H61"/>
      <c r="I61"/>
      <c r="J61"/>
    </row>
    <row r="62" spans="2:10" ht="31.65" customHeight="1" x14ac:dyDescent="0.25">
      <c r="B62"/>
      <c r="C62"/>
      <c r="D62"/>
      <c r="E62"/>
      <c r="F62"/>
      <c r="G62"/>
      <c r="H62"/>
      <c r="I62"/>
      <c r="J62"/>
    </row>
    <row r="63" spans="2:10" ht="22.65" customHeight="1" x14ac:dyDescent="0.25">
      <c r="B63"/>
      <c r="C63"/>
      <c r="D63"/>
      <c r="E63"/>
      <c r="F63"/>
      <c r="G63"/>
      <c r="H63"/>
      <c r="I63"/>
      <c r="J63"/>
    </row>
    <row r="64" spans="2:10" ht="22.65" customHeight="1" x14ac:dyDescent="0.25">
      <c r="B64" s="1"/>
      <c r="C64"/>
      <c r="D64"/>
      <c r="E64"/>
      <c r="F64"/>
      <c r="G64"/>
      <c r="H64"/>
      <c r="I64"/>
      <c r="J64"/>
    </row>
    <row r="65" spans="2:14" ht="22.65" customHeight="1" x14ac:dyDescent="0.25">
      <c r="B65" s="1"/>
      <c r="C65" s="1"/>
      <c r="D65"/>
      <c r="E65"/>
      <c r="F65"/>
      <c r="G65"/>
      <c r="H65"/>
      <c r="I65"/>
      <c r="J65"/>
    </row>
    <row r="66" spans="2:14" ht="22.65" customHeight="1" x14ac:dyDescent="0.25">
      <c r="B66" s="5"/>
      <c r="C66" s="5"/>
      <c r="D66" s="5"/>
      <c r="E66" s="5"/>
      <c r="F66" s="5"/>
      <c r="G66" s="5"/>
      <c r="H66" s="5"/>
      <c r="I66" s="5"/>
      <c r="J66" s="4"/>
      <c r="K66" s="4"/>
      <c r="L66" s="4"/>
      <c r="M66" s="4"/>
      <c r="N66" s="4"/>
    </row>
    <row r="67" spans="2:14" ht="22.65" customHeight="1" x14ac:dyDescent="0.25">
      <c r="B67" s="5"/>
      <c r="C67" s="5"/>
      <c r="D67" s="5"/>
      <c r="E67" s="5"/>
      <c r="F67" s="5"/>
      <c r="G67" s="6"/>
      <c r="H67" s="5"/>
      <c r="I67" s="6"/>
      <c r="J67" s="4"/>
      <c r="K67" s="4"/>
      <c r="L67" s="4"/>
      <c r="M67" s="4"/>
      <c r="N67" s="4"/>
    </row>
    <row r="68" spans="2:14" ht="23.1" customHeight="1" x14ac:dyDescent="0.25">
      <c r="B68" s="5"/>
      <c r="C68" s="5"/>
      <c r="D68" s="5"/>
      <c r="E68" s="5"/>
      <c r="F68" s="5"/>
      <c r="G68" s="6"/>
      <c r="H68" s="5"/>
      <c r="I68" s="6"/>
      <c r="J68" s="4"/>
      <c r="K68" s="4"/>
      <c r="L68" s="4"/>
      <c r="M68" s="4"/>
      <c r="N68" s="4"/>
    </row>
    <row r="69" spans="2:14" ht="23.1" customHeight="1" x14ac:dyDescent="0.25">
      <c r="B69" s="5"/>
      <c r="C69" s="5"/>
      <c r="D69" s="5"/>
      <c r="E69" s="5"/>
      <c r="F69" s="5"/>
      <c r="G69" s="6"/>
      <c r="H69" s="5"/>
      <c r="I69" s="6"/>
      <c r="J69" s="4"/>
      <c r="K69" s="4"/>
      <c r="L69" s="4"/>
      <c r="M69" s="4"/>
      <c r="N69" s="4"/>
    </row>
    <row r="70" spans="2:14" ht="23.1" customHeight="1" x14ac:dyDescent="0.25">
      <c r="B70" s="5"/>
      <c r="C70" s="5"/>
      <c r="D70" s="5"/>
      <c r="E70" s="5"/>
      <c r="F70" s="5"/>
      <c r="G70" s="6"/>
      <c r="H70" s="5"/>
      <c r="I70" s="6"/>
      <c r="J70" s="4"/>
      <c r="K70" s="4"/>
      <c r="L70" s="4"/>
      <c r="M70" s="4"/>
      <c r="N70" s="4"/>
    </row>
    <row r="71" spans="2:14" ht="23.1" customHeight="1" x14ac:dyDescent="0.25">
      <c r="B71" s="5"/>
      <c r="C71" s="5"/>
      <c r="D71" s="5"/>
      <c r="E71" s="5"/>
      <c r="F71" s="5"/>
      <c r="G71" s="6"/>
      <c r="H71" s="5"/>
      <c r="I71" s="6"/>
      <c r="J71" s="4"/>
      <c r="K71" s="4"/>
      <c r="L71" s="4"/>
      <c r="M71" s="4"/>
      <c r="N71" s="4"/>
    </row>
    <row r="72" spans="2:14" ht="23.1" customHeight="1" x14ac:dyDescent="0.25">
      <c r="B72" s="5"/>
      <c r="C72" s="5"/>
      <c r="D72" s="5"/>
      <c r="E72" s="5"/>
      <c r="F72" s="5"/>
      <c r="G72" s="6"/>
      <c r="H72" s="5"/>
      <c r="I72" s="6"/>
      <c r="J72" s="4"/>
      <c r="K72" s="4"/>
      <c r="L72" s="4"/>
      <c r="M72" s="4"/>
      <c r="N72" s="4"/>
    </row>
    <row r="73" spans="2:14" ht="23.1" customHeight="1" x14ac:dyDescent="0.25">
      <c r="B73" s="5"/>
      <c r="C73" s="5"/>
      <c r="D73" s="5"/>
      <c r="E73" s="5"/>
      <c r="F73" s="5"/>
      <c r="G73" s="6"/>
      <c r="H73" s="5"/>
      <c r="I73" s="6"/>
      <c r="J73" s="4"/>
      <c r="K73" s="4"/>
      <c r="L73" s="4"/>
      <c r="M73" s="4"/>
      <c r="N73" s="4"/>
    </row>
    <row r="74" spans="2:14" ht="23.1" customHeight="1" x14ac:dyDescent="0.25">
      <c r="B74" s="5"/>
      <c r="C74" s="5"/>
      <c r="D74" s="5"/>
      <c r="E74" s="5"/>
      <c r="F74" s="5"/>
      <c r="G74" s="6"/>
      <c r="H74" s="5"/>
      <c r="I74" s="6"/>
      <c r="J74" s="4"/>
      <c r="K74" s="4"/>
      <c r="L74" s="4"/>
      <c r="M74" s="4"/>
      <c r="N74" s="4"/>
    </row>
    <row r="75" spans="2:14" ht="23.1" customHeight="1" x14ac:dyDescent="0.25">
      <c r="B75" s="5"/>
      <c r="C75" s="5"/>
      <c r="D75" s="5"/>
      <c r="E75" s="5"/>
      <c r="F75" s="5"/>
      <c r="G75" s="6"/>
      <c r="H75" s="5"/>
      <c r="I75" s="6"/>
      <c r="J75" s="4"/>
      <c r="K75" s="4"/>
      <c r="L75" s="4"/>
      <c r="M75" s="4"/>
      <c r="N75" s="4"/>
    </row>
    <row r="76" spans="2:14" ht="23.1" customHeight="1" x14ac:dyDescent="0.25">
      <c r="B76" s="5"/>
      <c r="C76" s="5"/>
      <c r="D76" s="5"/>
      <c r="E76" s="5"/>
      <c r="F76" s="5"/>
      <c r="G76" s="6"/>
      <c r="H76" s="5"/>
      <c r="I76" s="6"/>
      <c r="J76" s="4"/>
      <c r="K76" s="4"/>
      <c r="L76" s="4"/>
      <c r="M76" s="4"/>
      <c r="N76" s="4"/>
    </row>
    <row r="77" spans="2:14" ht="23.1" customHeight="1" x14ac:dyDescent="0.25">
      <c r="B77" s="5"/>
      <c r="C77" s="7"/>
      <c r="D77" s="5"/>
      <c r="E77" s="5"/>
      <c r="F77" s="5"/>
      <c r="G77" s="6"/>
      <c r="H77" s="5"/>
      <c r="I77" s="6"/>
      <c r="J77" s="4"/>
      <c r="K77" s="4"/>
      <c r="L77" s="4"/>
      <c r="M77" s="4"/>
      <c r="N77" s="4"/>
    </row>
    <row r="78" spans="2:14" ht="23.1" customHeight="1" x14ac:dyDescent="0.25">
      <c r="B78" s="5"/>
      <c r="C78" s="7"/>
      <c r="D78" s="5"/>
      <c r="E78" s="5"/>
      <c r="F78" s="5"/>
      <c r="G78" s="6"/>
      <c r="H78" s="5"/>
      <c r="I78" s="6"/>
      <c r="J78" s="4"/>
      <c r="K78" s="4"/>
      <c r="L78" s="4"/>
      <c r="M78" s="4"/>
      <c r="N78" s="4"/>
    </row>
    <row r="79" spans="2:14" ht="30.75" customHeight="1" x14ac:dyDescent="0.25">
      <c r="B79" s="5"/>
      <c r="C79" s="7"/>
      <c r="D79" s="5"/>
      <c r="E79" s="5"/>
      <c r="F79" s="5"/>
      <c r="G79" s="6"/>
      <c r="H79" s="5"/>
      <c r="I79" s="6"/>
      <c r="J79" s="4"/>
      <c r="K79" s="4"/>
      <c r="L79" s="4"/>
      <c r="M79" s="4"/>
      <c r="N79" s="4"/>
    </row>
    <row r="80" spans="2:14" ht="23.1" customHeight="1" x14ac:dyDescent="0.25">
      <c r="B80" s="23"/>
      <c r="C80" s="24"/>
      <c r="D80" s="25"/>
      <c r="E80" s="26"/>
      <c r="F80" s="27"/>
      <c r="G80" s="6"/>
      <c r="H80" s="5"/>
      <c r="I80" s="6"/>
      <c r="J80" s="4"/>
      <c r="K80" s="4"/>
      <c r="L80" s="4"/>
      <c r="M80" s="4"/>
      <c r="N80" s="4"/>
    </row>
    <row r="81" spans="2:14" ht="23.1" customHeight="1" x14ac:dyDescent="0.25">
      <c r="B81" s="5"/>
      <c r="C81" s="7"/>
      <c r="D81" s="5"/>
      <c r="E81" s="5"/>
      <c r="F81" s="5"/>
      <c r="G81" s="6"/>
      <c r="H81" s="5"/>
      <c r="I81" s="6"/>
      <c r="J81" s="4"/>
      <c r="K81" s="4"/>
      <c r="L81" s="4"/>
      <c r="M81" s="4"/>
      <c r="N81" s="4"/>
    </row>
    <row r="82" spans="2:14" ht="23.1" customHeight="1" x14ac:dyDescent="0.25">
      <c r="B82" s="5"/>
      <c r="C82" s="7"/>
      <c r="D82" s="5"/>
      <c r="E82" s="5"/>
      <c r="F82" s="5"/>
      <c r="G82" s="6"/>
      <c r="H82" s="5"/>
      <c r="I82" s="6"/>
      <c r="J82" s="4"/>
      <c r="K82" s="4"/>
      <c r="L82" s="4"/>
      <c r="M82" s="4"/>
      <c r="N82" s="4"/>
    </row>
    <row r="83" spans="2:14" ht="23.1" customHeight="1" x14ac:dyDescent="0.25">
      <c r="B83" s="5"/>
      <c r="C83" s="7"/>
      <c r="D83" s="5"/>
      <c r="E83" s="5"/>
      <c r="F83" s="5"/>
      <c r="G83" s="6"/>
      <c r="H83" s="5"/>
      <c r="I83" s="6"/>
      <c r="J83" s="4"/>
      <c r="K83" s="4"/>
      <c r="L83" s="4"/>
      <c r="M83" s="4"/>
      <c r="N83" s="4"/>
    </row>
    <row r="84" spans="2:14" ht="23.1" customHeight="1" x14ac:dyDescent="0.25">
      <c r="B84" s="5"/>
      <c r="C84" s="7"/>
      <c r="D84" s="5"/>
      <c r="E84" s="5"/>
      <c r="F84" s="5"/>
      <c r="G84" s="6"/>
      <c r="H84" s="5"/>
      <c r="I84" s="6"/>
      <c r="J84" s="4"/>
      <c r="K84" s="4"/>
      <c r="L84" s="4"/>
      <c r="M84" s="4"/>
      <c r="N84" s="4"/>
    </row>
    <row r="85" spans="2:14" ht="23.1" customHeight="1" x14ac:dyDescent="0.25">
      <c r="B85" s="4"/>
      <c r="C85" s="4"/>
      <c r="D85" s="4"/>
      <c r="E85" s="4"/>
      <c r="F85" s="4"/>
      <c r="G85" s="4"/>
      <c r="H85" s="4"/>
      <c r="I85" s="4"/>
      <c r="J85" s="4"/>
      <c r="K85" s="4"/>
      <c r="L85" s="4"/>
      <c r="M85" s="4"/>
      <c r="N85" s="4"/>
    </row>
    <row r="86" spans="2:14" ht="23.1" customHeight="1" x14ac:dyDescent="0.25">
      <c r="B86" s="4"/>
      <c r="C86" s="4"/>
      <c r="D86" s="4"/>
      <c r="E86" s="4"/>
      <c r="F86" s="4"/>
      <c r="G86" s="4"/>
      <c r="H86" s="4"/>
      <c r="I86" s="4"/>
      <c r="J86" s="4"/>
      <c r="K86" s="4"/>
      <c r="L86" s="4"/>
      <c r="M86" s="4"/>
      <c r="N86" s="4"/>
    </row>
    <row r="87" spans="2:14" ht="23.1" customHeight="1" x14ac:dyDescent="0.25">
      <c r="B87" s="1"/>
      <c r="C87" s="1"/>
      <c r="D87" s="1"/>
      <c r="E87" s="1"/>
      <c r="F87" s="1"/>
      <c r="G87" s="1"/>
      <c r="H87" s="1"/>
      <c r="I87" s="1"/>
      <c r="J87" s="1"/>
    </row>
    <row r="88" spans="2:14" ht="23.1" customHeight="1" x14ac:dyDescent="0.25">
      <c r="B88" s="1"/>
      <c r="C88" s="1"/>
      <c r="D88" s="1"/>
      <c r="E88" s="1"/>
      <c r="F88" s="1"/>
      <c r="G88" s="1"/>
      <c r="H88" s="1"/>
      <c r="I88" s="1"/>
      <c r="J88" s="1"/>
    </row>
    <row r="89" spans="2:14" ht="23.1" customHeight="1" x14ac:dyDescent="0.25">
      <c r="B89" s="1"/>
      <c r="C89" s="1"/>
      <c r="D89" s="1"/>
      <c r="E89" s="1"/>
      <c r="F89" s="1"/>
      <c r="G89" s="1"/>
      <c r="H89" s="1"/>
      <c r="I89" s="1"/>
      <c r="J89" s="1"/>
    </row>
    <row r="90" spans="2:14" ht="23.1" customHeight="1" x14ac:dyDescent="0.25">
      <c r="B90" s="1"/>
      <c r="C90" s="1"/>
      <c r="D90" s="1"/>
      <c r="E90" s="1"/>
      <c r="F90" s="1"/>
      <c r="G90" s="1"/>
      <c r="H90" s="1"/>
      <c r="I90" s="1"/>
      <c r="J90" s="1"/>
    </row>
    <row r="91" spans="2:14" ht="23.1" customHeight="1" x14ac:dyDescent="0.25">
      <c r="B91" s="1"/>
      <c r="C91" s="1"/>
      <c r="D91" s="1"/>
      <c r="E91" s="1"/>
      <c r="F91" s="1"/>
      <c r="G91" s="1"/>
      <c r="H91" s="1"/>
      <c r="I91" s="1"/>
      <c r="J91" s="1"/>
    </row>
    <row r="92" spans="2:14" ht="30.3" customHeight="1" x14ac:dyDescent="0.25">
      <c r="B92" s="1"/>
      <c r="C92" s="1"/>
      <c r="D92" s="1"/>
      <c r="E92" s="1"/>
      <c r="F92" s="1"/>
      <c r="G92" s="1"/>
      <c r="H92" s="1"/>
      <c r="I92" s="1"/>
      <c r="J92" s="1"/>
    </row>
    <row r="93" spans="2:14" ht="23.1" customHeight="1" x14ac:dyDescent="0.25">
      <c r="B93" s="1"/>
      <c r="C93" s="1"/>
      <c r="D93" s="1"/>
      <c r="E93" s="1"/>
      <c r="F93" s="1"/>
      <c r="G93" s="1"/>
      <c r="H93" s="1"/>
      <c r="I93" s="1"/>
      <c r="J93" s="1"/>
    </row>
    <row r="94" spans="2:14" ht="37.5" customHeight="1" x14ac:dyDescent="0.25">
      <c r="B94" s="1"/>
      <c r="C94" s="1"/>
      <c r="D94" s="1"/>
      <c r="E94" s="1"/>
      <c r="F94" s="1"/>
      <c r="G94" s="1"/>
      <c r="H94" s="1"/>
      <c r="I94" s="1"/>
      <c r="J94" s="1"/>
    </row>
    <row r="95" spans="2:14" ht="23.1" customHeight="1" x14ac:dyDescent="0.25">
      <c r="B95" s="1"/>
      <c r="C95" s="1"/>
      <c r="D95" s="1"/>
      <c r="E95" s="1"/>
      <c r="F95" s="1"/>
      <c r="G95" s="1"/>
      <c r="H95" s="1"/>
      <c r="I95" s="1"/>
      <c r="J95" s="1"/>
    </row>
    <row r="96" spans="2:14" ht="23.1" customHeight="1" x14ac:dyDescent="0.25">
      <c r="B96" s="1"/>
      <c r="C96" s="1"/>
      <c r="D96" s="1"/>
      <c r="E96" s="1"/>
      <c r="F96" s="1"/>
      <c r="G96" s="1"/>
      <c r="H96" s="1"/>
      <c r="I96" s="1"/>
      <c r="J96" s="1"/>
    </row>
    <row r="97" spans="2:10" ht="27" customHeight="1" x14ac:dyDescent="0.25">
      <c r="B97" s="1"/>
      <c r="C97" s="1"/>
      <c r="D97" s="1"/>
      <c r="E97" s="1"/>
      <c r="F97" s="1"/>
      <c r="G97" s="1"/>
      <c r="H97" s="1"/>
      <c r="I97" s="1"/>
      <c r="J97" s="1"/>
    </row>
    <row r="98" spans="2:10" ht="27.75" customHeight="1" x14ac:dyDescent="0.25">
      <c r="B98" s="1"/>
      <c r="C98" s="1"/>
      <c r="D98" s="1"/>
      <c r="E98" s="1"/>
      <c r="F98" s="1"/>
      <c r="G98" s="1"/>
      <c r="H98" s="1"/>
      <c r="I98" s="1"/>
      <c r="J98" s="1"/>
    </row>
    <row r="99" spans="2:10" ht="27.75" customHeight="1" x14ac:dyDescent="0.25">
      <c r="B99" s="1"/>
      <c r="C99" s="1"/>
      <c r="D99" s="1"/>
      <c r="E99" s="1"/>
      <c r="F99" s="1"/>
      <c r="G99" s="1"/>
      <c r="H99" s="1"/>
      <c r="I99" s="1"/>
      <c r="J99" s="1"/>
    </row>
    <row r="100" spans="2:10" ht="36" customHeight="1" x14ac:dyDescent="0.25">
      <c r="B100" s="1"/>
      <c r="C100" s="1"/>
      <c r="D100" s="1"/>
      <c r="E100" s="1"/>
      <c r="F100" s="1"/>
      <c r="G100" s="1"/>
      <c r="H100" s="1"/>
      <c r="I100" s="1"/>
      <c r="J100" s="1"/>
    </row>
    <row r="101" spans="2:10" ht="23.1" customHeight="1" x14ac:dyDescent="0.25">
      <c r="B101" s="1"/>
      <c r="C101" s="1"/>
      <c r="D101" s="1"/>
      <c r="E101" s="1"/>
      <c r="F101" s="1"/>
      <c r="G101" s="1"/>
      <c r="H101" s="1"/>
      <c r="I101" s="1"/>
      <c r="J101" s="1"/>
    </row>
    <row r="102" spans="2:10" ht="23.1" customHeight="1" x14ac:dyDescent="0.25">
      <c r="B102" s="1"/>
      <c r="C102" s="1"/>
      <c r="D102" s="1"/>
      <c r="E102" s="1"/>
      <c r="F102" s="1"/>
      <c r="G102" s="1"/>
      <c r="H102" s="1"/>
      <c r="I102" s="1"/>
      <c r="J102" s="1"/>
    </row>
    <row r="103" spans="2:10" x14ac:dyDescent="0.25">
      <c r="B103" s="1"/>
      <c r="C103" s="1"/>
      <c r="D103" s="1"/>
      <c r="E103" s="1"/>
      <c r="F103" s="1"/>
      <c r="G103" s="1"/>
      <c r="H103" s="1"/>
      <c r="I103" s="1"/>
      <c r="J103" s="1"/>
    </row>
    <row r="104" spans="2:10" x14ac:dyDescent="0.25">
      <c r="B104" s="1"/>
      <c r="C104" s="1"/>
      <c r="D104" s="1"/>
      <c r="E104" s="1"/>
      <c r="F104" s="1"/>
      <c r="G104" s="1"/>
      <c r="H104" s="1"/>
      <c r="I104" s="1"/>
      <c r="J104" s="1"/>
    </row>
    <row r="105" spans="2:10" x14ac:dyDescent="0.25">
      <c r="B105" s="1"/>
      <c r="C105" s="1"/>
      <c r="D105" s="1"/>
      <c r="E105" s="1"/>
      <c r="F105" s="1"/>
      <c r="G105" s="1"/>
      <c r="H105" s="1"/>
      <c r="I105" s="1"/>
      <c r="J105" s="1"/>
    </row>
    <row r="106" spans="2:10" x14ac:dyDescent="0.25">
      <c r="B106" s="1"/>
      <c r="C106" s="1"/>
      <c r="D106" s="1"/>
      <c r="E106" s="1"/>
      <c r="F106" s="1"/>
      <c r="G106" s="1"/>
      <c r="H106" s="1"/>
      <c r="I106" s="1"/>
      <c r="J106" s="1"/>
    </row>
    <row r="107" spans="2:10" x14ac:dyDescent="0.25">
      <c r="B107" s="1"/>
      <c r="C107" s="1"/>
      <c r="D107" s="1"/>
      <c r="E107" s="1"/>
      <c r="F107" s="1"/>
      <c r="G107" s="1"/>
      <c r="H107" s="1"/>
      <c r="I107" s="1"/>
      <c r="J107" s="1"/>
    </row>
    <row r="108" spans="2:10" x14ac:dyDescent="0.25">
      <c r="B108" s="1"/>
      <c r="C108" s="1"/>
      <c r="D108" s="1"/>
      <c r="E108" s="1"/>
      <c r="F108" s="1"/>
      <c r="G108" s="1"/>
      <c r="H108" s="1"/>
      <c r="I108" s="1"/>
      <c r="J108" s="1"/>
    </row>
    <row r="109" spans="2:10" x14ac:dyDescent="0.25">
      <c r="B109" s="1"/>
      <c r="C109" s="1"/>
      <c r="D109" s="1"/>
      <c r="E109" s="1"/>
      <c r="F109" s="1"/>
      <c r="G109" s="1"/>
      <c r="H109" s="1"/>
      <c r="I109" s="1"/>
      <c r="J109" s="1"/>
    </row>
  </sheetData>
  <sheetProtection sheet="1" objects="1" scenarios="1"/>
  <mergeCells count="10">
    <mergeCell ref="K29:N34"/>
    <mergeCell ref="C2:F2"/>
    <mergeCell ref="B18:H18"/>
    <mergeCell ref="B35:H35"/>
    <mergeCell ref="B3:G3"/>
    <mergeCell ref="G28:H28"/>
    <mergeCell ref="G29:H29"/>
    <mergeCell ref="G31:H31"/>
    <mergeCell ref="G32:H32"/>
    <mergeCell ref="G33:H33"/>
  </mergeCells>
  <phoneticPr fontId="0" type="noConversion"/>
  <hyperlinks>
    <hyperlink ref="G28" location="Tabelle1!A1" display="Richlinien"/>
    <hyperlink ref="G31" location="' ÖKOZS-Aufzf..-Mast'!A1" display="Zuchtsau und Mast"/>
    <hyperlink ref="G29" location="Info!A1" display="Förderung"/>
    <hyperlink ref="G32" location="Grafiken!A1" display="Grafiken"/>
    <hyperlink ref="G33" location="'6 Vergl. Aufz.-Mast'!A1" display="Vergl. Aufz.-Mast"/>
    <hyperlink ref="G28:H28" location="Ökorichlinien!A1" display="Richlinien"/>
    <hyperlink ref="G29:H29" location="Förderung!A1" display="Förderung"/>
    <hyperlink ref="G33:H33" location="'Vergl. Aufz.-Mast'!A1" display="Vergl. Aufz.-Mast"/>
  </hyperlinks>
  <printOptions horizontalCentered="1" gridLinesSet="0"/>
  <pageMargins left="0.23622047244094491" right="0.23622047244094491" top="0.74803149606299213" bottom="0.74803149606299213" header="0.31496062992125984" footer="0.31496062992125984"/>
  <pageSetup paperSize="9" scale="56" orientation="portrait" verticalDpi="300" r:id="rId1"/>
  <headerFooter alignWithMargins="0">
    <oddFooter>&amp;LLEL, Abt.2, J. Miez, K.Schabel, V. Segger&amp;C&amp;F&amp;R&amp;D</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zoomScaleNormal="100" workbookViewId="0"/>
  </sheetViews>
  <sheetFormatPr baseColWidth="10" defaultRowHeight="13.2" x14ac:dyDescent="0.25"/>
  <cols>
    <col min="1" max="1" width="1.88671875" customWidth="1"/>
    <col min="5" max="5" width="7.88671875" customWidth="1"/>
  </cols>
  <sheetData>
    <row r="1" spans="2:10" ht="13.8" thickBot="1" x14ac:dyDescent="0.3"/>
    <row r="2" spans="2:10" ht="38.1" customHeight="1" thickBot="1" x14ac:dyDescent="0.3">
      <c r="B2" s="682" t="s">
        <v>191</v>
      </c>
      <c r="C2" s="683"/>
      <c r="D2" s="683"/>
      <c r="E2" s="683"/>
      <c r="F2" s="683"/>
      <c r="G2" s="683"/>
      <c r="H2" s="683"/>
      <c r="I2" s="683"/>
      <c r="J2" s="684"/>
    </row>
    <row r="3" spans="2:10" ht="4.8" customHeight="1" x14ac:dyDescent="0.25">
      <c r="B3" s="436"/>
      <c r="C3" s="436"/>
      <c r="D3" s="436"/>
      <c r="E3" s="436"/>
      <c r="F3" s="436"/>
      <c r="G3" s="436"/>
      <c r="H3" s="436"/>
      <c r="I3" s="436"/>
      <c r="J3" s="436"/>
    </row>
    <row r="4" spans="2:10" ht="14.25" customHeight="1" x14ac:dyDescent="0.25">
      <c r="B4" s="688" t="s">
        <v>162</v>
      </c>
      <c r="C4" s="688"/>
      <c r="D4" s="688"/>
      <c r="E4" s="688"/>
      <c r="F4" s="688"/>
      <c r="G4" s="688"/>
      <c r="H4" s="688"/>
      <c r="I4" s="688"/>
    </row>
    <row r="5" spans="2:10" ht="2.7" customHeight="1" x14ac:dyDescent="0.25">
      <c r="B5" s="687"/>
      <c r="C5" s="687"/>
      <c r="D5" s="687"/>
      <c r="E5" s="687"/>
      <c r="F5" s="687"/>
      <c r="G5" s="687"/>
      <c r="H5" s="687"/>
      <c r="I5" s="687"/>
    </row>
    <row r="6" spans="2:10" ht="17.399999999999999" x14ac:dyDescent="0.25">
      <c r="B6" s="688" t="s">
        <v>163</v>
      </c>
      <c r="C6" s="688"/>
      <c r="D6" s="688"/>
      <c r="E6" s="688"/>
      <c r="F6" s="688"/>
      <c r="G6" s="688"/>
      <c r="H6" s="688"/>
      <c r="I6" s="688"/>
    </row>
    <row r="7" spans="2:10" ht="4.8" customHeight="1" x14ac:dyDescent="0.25">
      <c r="B7" s="687"/>
      <c r="C7" s="687"/>
      <c r="D7" s="687"/>
      <c r="E7" s="687"/>
      <c r="F7" s="687"/>
      <c r="G7" s="687"/>
      <c r="H7" s="687"/>
      <c r="I7" s="687"/>
    </row>
    <row r="8" spans="2:10" ht="108" customHeight="1" x14ac:dyDescent="0.25">
      <c r="B8" s="686" t="s">
        <v>173</v>
      </c>
      <c r="C8" s="686"/>
      <c r="D8" s="686"/>
      <c r="E8" s="686"/>
      <c r="F8" s="685" t="s">
        <v>193</v>
      </c>
      <c r="G8" s="685"/>
      <c r="H8" s="685"/>
      <c r="I8" s="685"/>
      <c r="J8" s="685"/>
    </row>
    <row r="9" spans="2:10" ht="6.15" customHeight="1" x14ac:dyDescent="0.25">
      <c r="B9" s="686"/>
      <c r="C9" s="686"/>
      <c r="D9" s="686"/>
      <c r="E9" s="686"/>
      <c r="F9" s="686"/>
      <c r="G9" s="686"/>
      <c r="H9" s="686"/>
      <c r="I9" s="686"/>
    </row>
    <row r="10" spans="2:10" ht="184.8" customHeight="1" x14ac:dyDescent="0.25">
      <c r="B10" s="686" t="s">
        <v>164</v>
      </c>
      <c r="C10" s="686"/>
      <c r="D10" s="686"/>
      <c r="E10" s="686"/>
      <c r="F10" s="435"/>
      <c r="G10" s="435"/>
      <c r="H10" s="435"/>
      <c r="I10" s="435"/>
    </row>
    <row r="11" spans="2:10" ht="1.35" customHeight="1" x14ac:dyDescent="0.25">
      <c r="B11" s="687"/>
      <c r="C11" s="687"/>
      <c r="D11" s="687"/>
      <c r="E11" s="687"/>
      <c r="F11" s="687"/>
      <c r="G11" s="687"/>
      <c r="H11" s="687"/>
      <c r="I11" s="687"/>
    </row>
    <row r="12" spans="2:10" ht="17.399999999999999" x14ac:dyDescent="0.25">
      <c r="B12" s="688" t="s">
        <v>165</v>
      </c>
      <c r="C12" s="688"/>
      <c r="D12" s="688"/>
      <c r="E12" s="688"/>
      <c r="F12" s="688"/>
      <c r="G12" s="688"/>
      <c r="H12" s="688"/>
      <c r="I12" s="688"/>
    </row>
    <row r="13" spans="2:10" ht="5.4" customHeight="1" x14ac:dyDescent="0.25">
      <c r="B13" s="687"/>
      <c r="C13" s="687"/>
      <c r="D13" s="687"/>
      <c r="E13" s="687"/>
      <c r="F13" s="687"/>
      <c r="G13" s="687"/>
      <c r="H13" s="687"/>
      <c r="I13" s="687"/>
    </row>
    <row r="14" spans="2:10" ht="41.4" customHeight="1" x14ac:dyDescent="0.25">
      <c r="B14" s="686" t="s">
        <v>166</v>
      </c>
      <c r="C14" s="686"/>
      <c r="D14" s="686"/>
      <c r="E14" s="686"/>
      <c r="F14" s="686"/>
      <c r="G14" s="686"/>
      <c r="H14" s="686"/>
      <c r="I14" s="686"/>
      <c r="J14" s="686"/>
    </row>
    <row r="15" spans="2:10" ht="6.15" customHeight="1" x14ac:dyDescent="0.25">
      <c r="B15" s="687"/>
      <c r="C15" s="687"/>
      <c r="D15" s="687"/>
      <c r="E15" s="687"/>
      <c r="F15" s="687"/>
      <c r="G15" s="687"/>
      <c r="H15" s="687"/>
      <c r="I15" s="687"/>
    </row>
    <row r="16" spans="2:10" ht="17.399999999999999" x14ac:dyDescent="0.25">
      <c r="B16" s="688" t="s">
        <v>167</v>
      </c>
      <c r="C16" s="688"/>
      <c r="D16" s="688"/>
      <c r="E16" s="688"/>
      <c r="F16" s="688"/>
      <c r="G16" s="688"/>
      <c r="H16" s="688"/>
      <c r="I16" s="688"/>
    </row>
    <row r="17" spans="2:10" ht="6.15" customHeight="1" x14ac:dyDescent="0.25">
      <c r="B17" s="687"/>
      <c r="C17" s="687"/>
      <c r="D17" s="687"/>
      <c r="E17" s="687"/>
      <c r="F17" s="687"/>
      <c r="G17" s="687"/>
      <c r="H17" s="687"/>
      <c r="I17" s="687"/>
    </row>
    <row r="18" spans="2:10" ht="63.15" customHeight="1" x14ac:dyDescent="0.25">
      <c r="B18" s="686" t="s">
        <v>168</v>
      </c>
      <c r="C18" s="686"/>
      <c r="D18" s="686"/>
      <c r="E18" s="686"/>
      <c r="F18" s="686"/>
      <c r="G18" s="686"/>
      <c r="H18" s="686"/>
      <c r="I18" s="686"/>
      <c r="J18" s="686"/>
    </row>
    <row r="19" spans="2:10" ht="5.4" customHeight="1" x14ac:dyDescent="0.25">
      <c r="B19" s="686"/>
      <c r="C19" s="686"/>
      <c r="D19" s="686"/>
      <c r="E19" s="686"/>
      <c r="F19" s="686"/>
      <c r="G19" s="686"/>
      <c r="H19" s="686"/>
      <c r="I19" s="686"/>
    </row>
    <row r="20" spans="2:10" ht="77.400000000000006" customHeight="1" x14ac:dyDescent="0.25">
      <c r="B20" s="686" t="s">
        <v>169</v>
      </c>
      <c r="C20" s="686"/>
      <c r="D20" s="686"/>
      <c r="E20" s="686"/>
      <c r="F20" s="686"/>
      <c r="G20" s="686"/>
      <c r="H20" s="686"/>
      <c r="I20" s="686"/>
      <c r="J20" s="686"/>
    </row>
    <row r="21" spans="2:10" ht="6.75" customHeight="1" x14ac:dyDescent="0.25">
      <c r="B21" s="687"/>
      <c r="C21" s="687"/>
      <c r="D21" s="687"/>
      <c r="E21" s="687"/>
      <c r="F21" s="687"/>
      <c r="G21" s="687"/>
      <c r="H21" s="687"/>
      <c r="I21" s="687"/>
    </row>
    <row r="22" spans="2:10" ht="20.399999999999999" customHeight="1" x14ac:dyDescent="0.25">
      <c r="B22" s="688" t="s">
        <v>170</v>
      </c>
      <c r="C22" s="688"/>
      <c r="D22" s="688"/>
      <c r="E22" s="688"/>
      <c r="F22" s="688"/>
      <c r="G22" s="688"/>
      <c r="H22" s="688"/>
      <c r="I22" s="688"/>
    </row>
    <row r="23" spans="2:10" x14ac:dyDescent="0.25">
      <c r="B23" s="687"/>
      <c r="C23" s="687"/>
      <c r="D23" s="687"/>
      <c r="E23" s="687"/>
      <c r="F23" s="687"/>
      <c r="G23" s="687"/>
      <c r="H23" s="687"/>
      <c r="I23" s="687"/>
    </row>
    <row r="24" spans="2:10" ht="43.5" customHeight="1" x14ac:dyDescent="0.25">
      <c r="B24" s="686" t="s">
        <v>171</v>
      </c>
      <c r="C24" s="686"/>
      <c r="D24" s="686"/>
      <c r="E24" s="686"/>
      <c r="F24" s="686"/>
      <c r="G24" s="686"/>
      <c r="H24" s="686"/>
      <c r="I24" s="686"/>
      <c r="J24" s="686"/>
    </row>
    <row r="25" spans="2:10" ht="6.75" customHeight="1" x14ac:dyDescent="0.25">
      <c r="B25" s="687"/>
      <c r="C25" s="687"/>
      <c r="D25" s="687"/>
      <c r="E25" s="687"/>
      <c r="F25" s="687"/>
      <c r="G25" s="687"/>
      <c r="H25" s="687"/>
      <c r="I25" s="687"/>
    </row>
    <row r="26" spans="2:10" ht="27.9" customHeight="1" x14ac:dyDescent="0.25">
      <c r="B26" s="686" t="s">
        <v>172</v>
      </c>
      <c r="C26" s="686"/>
      <c r="D26" s="686"/>
      <c r="E26" s="686"/>
      <c r="F26" s="686"/>
      <c r="G26" s="686"/>
      <c r="H26" s="686"/>
      <c r="I26" s="686"/>
      <c r="J26" s="686"/>
    </row>
    <row r="28" spans="2:10" x14ac:dyDescent="0.25">
      <c r="B28" s="433" t="s">
        <v>177</v>
      </c>
    </row>
    <row r="29" spans="2:10" x14ac:dyDescent="0.25">
      <c r="B29" s="433"/>
    </row>
  </sheetData>
  <mergeCells count="25">
    <mergeCell ref="B24:J24"/>
    <mergeCell ref="B26:J26"/>
    <mergeCell ref="B21:I21"/>
    <mergeCell ref="B22:I22"/>
    <mergeCell ref="B23:I23"/>
    <mergeCell ref="B25:I25"/>
    <mergeCell ref="B18:J18"/>
    <mergeCell ref="B15:I15"/>
    <mergeCell ref="B16:I16"/>
    <mergeCell ref="B17:I17"/>
    <mergeCell ref="B20:J20"/>
    <mergeCell ref="B19:I19"/>
    <mergeCell ref="B2:J2"/>
    <mergeCell ref="F8:J8"/>
    <mergeCell ref="B8:E8"/>
    <mergeCell ref="B10:E10"/>
    <mergeCell ref="B14:J14"/>
    <mergeCell ref="B9:I9"/>
    <mergeCell ref="B11:I11"/>
    <mergeCell ref="B12:I12"/>
    <mergeCell ref="B13:I13"/>
    <mergeCell ref="B4:I4"/>
    <mergeCell ref="B5:I5"/>
    <mergeCell ref="B6:I6"/>
    <mergeCell ref="B7:I7"/>
  </mergeCells>
  <pageMargins left="0.23622047244094491" right="0.23622047244094491" top="0.74803149606299213" bottom="0.74803149606299213" header="0.31496062992125984" footer="0.31496062992125984"/>
  <pageSetup paperSize="9" scale="56" orientation="portrait" verticalDpi="0" r:id="rId1"/>
  <headerFooter alignWithMargins="0">
    <oddFooter>&amp;LLEL, Abt.2, K.Schabel, V. Segger&amp;C
&amp;R&amp;D</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6"/>
  <sheetViews>
    <sheetView topLeftCell="A76" zoomScaleNormal="100" workbookViewId="0">
      <selection activeCell="C2" sqref="C2"/>
    </sheetView>
  </sheetViews>
  <sheetFormatPr baseColWidth="10" defaultRowHeight="13.2" x14ac:dyDescent="0.25"/>
  <cols>
    <col min="1" max="1" width="0.88671875" customWidth="1"/>
    <col min="2" max="2" width="43.77734375" customWidth="1"/>
    <col min="3" max="3" width="43.6640625" customWidth="1"/>
    <col min="4" max="4" width="9.44140625" customWidth="1"/>
  </cols>
  <sheetData>
    <row r="1" spans="2:4" ht="13.8" thickBot="1" x14ac:dyDescent="0.3"/>
    <row r="2" spans="2:4" ht="38.700000000000003" customHeight="1" thickBot="1" x14ac:dyDescent="0.3">
      <c r="B2" s="417" t="s">
        <v>192</v>
      </c>
      <c r="C2" s="416"/>
      <c r="D2" s="434"/>
    </row>
    <row r="3" spans="2:4" ht="25.8" customHeight="1" x14ac:dyDescent="0.3">
      <c r="B3" s="53"/>
    </row>
    <row r="19" spans="2:2" ht="116.85" customHeight="1" x14ac:dyDescent="0.25"/>
    <row r="20" spans="2:2" s="342" customFormat="1" ht="19.649999999999999" customHeight="1" x14ac:dyDescent="0.3">
      <c r="B20" s="53" t="s">
        <v>246</v>
      </c>
    </row>
    <row r="21" spans="2:2" ht="108" customHeight="1" x14ac:dyDescent="0.25"/>
    <row r="23" spans="2:2" ht="58.65" customHeight="1" x14ac:dyDescent="0.25"/>
    <row r="85" ht="26.55" customHeight="1" x14ac:dyDescent="0.25"/>
    <row r="86" ht="23.1" customHeight="1" x14ac:dyDescent="0.25"/>
  </sheetData>
  <sheetProtection sheet="1" objects="1" scenarios="1"/>
  <pageMargins left="0.23622047244094491" right="0.23622047244094491" top="0.74803149606299213" bottom="0.74803149606299213" header="0.31496062992125984" footer="0.31496062992125984"/>
  <pageSetup paperSize="9" orientation="portrait" verticalDpi="0" r:id="rId1"/>
  <headerFooter alignWithMargins="0">
    <oddFooter>&amp;LLEL, Abt.2, K.Schabel, V. Segger&amp;C&amp;F&amp;R&amp;D</oddFooter>
  </headerFooter>
  <rowBreaks count="1" manualBreakCount="1">
    <brk id="37" max="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67"/>
  <sheetViews>
    <sheetView showGridLines="0" view="pageLayout" topLeftCell="A124" zoomScaleNormal="85" workbookViewId="0">
      <selection activeCell="E114" sqref="E114"/>
    </sheetView>
  </sheetViews>
  <sheetFormatPr baseColWidth="10" defaultColWidth="11.33203125" defaultRowHeight="13.2" x14ac:dyDescent="0.25"/>
  <cols>
    <col min="1" max="1" width="1.33203125" style="1" customWidth="1"/>
    <col min="2" max="2" width="27.21875" style="12" customWidth="1"/>
    <col min="3" max="3" width="22.21875" style="12" customWidth="1"/>
    <col min="4" max="4" width="18.33203125" style="12" customWidth="1"/>
    <col min="5" max="5" width="8" style="12" customWidth="1"/>
    <col min="6" max="6" width="32.21875" style="12" customWidth="1"/>
    <col min="7" max="7" width="20.33203125" style="12" customWidth="1"/>
    <col min="8" max="8" width="11" style="12" customWidth="1"/>
    <col min="9" max="9" width="9.6640625" style="12" customWidth="1"/>
    <col min="10" max="10" width="9.77734375" style="12" customWidth="1"/>
    <col min="11" max="11" width="8.33203125" style="12" customWidth="1"/>
    <col min="12" max="12" width="4.21875" style="1" customWidth="1"/>
    <col min="13" max="13" width="26.6640625" style="1" customWidth="1"/>
    <col min="14" max="14" width="9.77734375" style="1" customWidth="1"/>
    <col min="15" max="15" width="11.33203125" style="1" customWidth="1"/>
    <col min="16" max="16" width="33.6640625" style="1" customWidth="1"/>
    <col min="17" max="17" width="8.44140625" style="1" customWidth="1"/>
    <col min="18" max="16384" width="11.33203125" style="1"/>
  </cols>
  <sheetData>
    <row r="1" spans="2:18" ht="6.15" customHeight="1" thickBot="1" x14ac:dyDescent="0.35">
      <c r="B1" s="11"/>
      <c r="C1" s="11"/>
      <c r="D1" s="11"/>
      <c r="E1" s="11"/>
      <c r="F1" s="11"/>
      <c r="G1" s="11"/>
      <c r="H1" s="11"/>
      <c r="I1" s="11"/>
      <c r="J1" s="11"/>
      <c r="K1" s="11"/>
      <c r="L1" s="3"/>
      <c r="M1" s="3"/>
      <c r="N1" s="3"/>
    </row>
    <row r="2" spans="2:18" ht="36" customHeight="1" thickBot="1" x14ac:dyDescent="0.35">
      <c r="B2" s="715" t="s">
        <v>186</v>
      </c>
      <c r="C2" s="716"/>
      <c r="D2" s="716"/>
      <c r="E2" s="716"/>
      <c r="F2" s="716"/>
      <c r="G2" s="668" t="s">
        <v>329</v>
      </c>
      <c r="H2" s="663"/>
      <c r="I2" s="662" t="s">
        <v>328</v>
      </c>
      <c r="J2" s="745" t="s">
        <v>153</v>
      </c>
      <c r="K2" s="746"/>
      <c r="L2" s="747"/>
      <c r="M2" s="3"/>
      <c r="N2" s="3"/>
    </row>
    <row r="3" spans="2:18" ht="9" customHeight="1" thickBot="1" x14ac:dyDescent="0.3">
      <c r="B3" s="269"/>
      <c r="C3" s="269"/>
      <c r="D3" s="269"/>
      <c r="E3" s="269"/>
      <c r="F3" s="269"/>
      <c r="G3" s="269"/>
      <c r="H3" s="269"/>
      <c r="I3" s="269"/>
      <c r="J3" s="11"/>
      <c r="K3" s="11"/>
      <c r="L3"/>
      <c r="M3"/>
      <c r="N3"/>
    </row>
    <row r="4" spans="2:18" ht="22.65" customHeight="1" thickBot="1" x14ac:dyDescent="0.35">
      <c r="B4" s="293" t="s">
        <v>120</v>
      </c>
      <c r="C4" s="469" t="s">
        <v>75</v>
      </c>
      <c r="E4" s="437" t="s">
        <v>121</v>
      </c>
      <c r="F4" s="438" t="s">
        <v>210</v>
      </c>
      <c r="G4" s="293" t="s">
        <v>74</v>
      </c>
      <c r="H4" s="758">
        <v>43312</v>
      </c>
      <c r="I4" s="759"/>
      <c r="L4"/>
      <c r="M4"/>
      <c r="N4"/>
    </row>
    <row r="5" spans="2:18" ht="4.8" customHeight="1" x14ac:dyDescent="0.25">
      <c r="B5" s="270"/>
      <c r="C5" s="270"/>
      <c r="D5" s="270"/>
      <c r="E5" s="270"/>
      <c r="F5" s="270"/>
      <c r="G5" s="270"/>
      <c r="H5" s="270"/>
      <c r="I5" s="270"/>
      <c r="J5" s="11"/>
      <c r="K5" s="11"/>
      <c r="L5"/>
      <c r="M5"/>
      <c r="N5"/>
    </row>
    <row r="6" spans="2:18" ht="14.25" customHeight="1" x14ac:dyDescent="0.25">
      <c r="B6" s="370"/>
      <c r="C6" s="371" t="s">
        <v>133</v>
      </c>
      <c r="D6" s="372" t="s">
        <v>117</v>
      </c>
      <c r="E6" s="471" t="s">
        <v>124</v>
      </c>
      <c r="F6" s="366" t="s">
        <v>154</v>
      </c>
      <c r="G6" s="367"/>
      <c r="H6" s="368" t="s">
        <v>122</v>
      </c>
      <c r="I6" s="470"/>
      <c r="K6" s="652"/>
      <c r="L6" s="653" t="s">
        <v>309</v>
      </c>
      <c r="M6" s="654"/>
      <c r="N6" s="654"/>
      <c r="O6" s="654"/>
      <c r="P6" s="654"/>
      <c r="Q6" s="407"/>
      <c r="R6" s="407"/>
    </row>
    <row r="7" spans="2:18" ht="14.25" customHeight="1" x14ac:dyDescent="0.3">
      <c r="D7" s="372" t="s">
        <v>115</v>
      </c>
      <c r="E7" s="658" t="str">
        <f>IF(E6="","X","")</f>
        <v/>
      </c>
      <c r="F7" s="369"/>
      <c r="G7" s="367"/>
      <c r="H7" s="368" t="s">
        <v>123</v>
      </c>
      <c r="I7" s="659" t="s">
        <v>124</v>
      </c>
      <c r="J7" s="347" t="s">
        <v>1</v>
      </c>
      <c r="K7" s="11"/>
      <c r="L7"/>
      <c r="M7"/>
      <c r="N7"/>
      <c r="R7" s="380"/>
    </row>
    <row r="8" spans="2:18" ht="6" customHeight="1" thickBot="1" x14ac:dyDescent="0.35">
      <c r="C8" s="270"/>
      <c r="D8" s="270"/>
      <c r="E8" s="270"/>
      <c r="F8" s="270"/>
      <c r="G8" s="270"/>
      <c r="H8" s="270"/>
      <c r="I8" s="270"/>
      <c r="J8" s="348"/>
      <c r="K8" s="17"/>
      <c r="L8" s="3"/>
      <c r="M8"/>
      <c r="N8" s="3"/>
      <c r="R8" s="380"/>
    </row>
    <row r="9" spans="2:18" ht="19.5" customHeight="1" x14ac:dyDescent="0.3">
      <c r="B9" s="271" t="s">
        <v>257</v>
      </c>
      <c r="C9" s="272"/>
      <c r="D9" s="327">
        <v>0.107</v>
      </c>
      <c r="E9" s="338" t="str">
        <f>IF($I$7="",D9,"")</f>
        <v/>
      </c>
      <c r="F9" s="273" t="s">
        <v>129</v>
      </c>
      <c r="G9" s="274"/>
      <c r="H9" s="439">
        <v>2.5</v>
      </c>
      <c r="I9" s="275" t="s">
        <v>2</v>
      </c>
      <c r="J9" s="349">
        <f>IF($I$7="",1+E9,1)</f>
        <v>1</v>
      </c>
      <c r="K9" s="16"/>
      <c r="L9"/>
      <c r="M9"/>
      <c r="N9"/>
      <c r="R9" s="380"/>
    </row>
    <row r="10" spans="2:18" ht="19.5" customHeight="1" x14ac:dyDescent="0.3">
      <c r="B10" s="286" t="s">
        <v>114</v>
      </c>
      <c r="C10" s="287"/>
      <c r="D10" s="328">
        <v>0.19</v>
      </c>
      <c r="E10" s="339" t="str">
        <f>IF($I$7="",D10,"")</f>
        <v/>
      </c>
      <c r="F10" s="288" t="s">
        <v>113</v>
      </c>
      <c r="G10" s="289"/>
      <c r="H10" s="291">
        <v>40</v>
      </c>
      <c r="I10" s="290" t="s">
        <v>2</v>
      </c>
      <c r="J10" s="349">
        <f>IF($I$7="",1+E10,1)</f>
        <v>1</v>
      </c>
      <c r="K10" s="16"/>
      <c r="L10"/>
      <c r="M10"/>
      <c r="N10"/>
      <c r="R10" s="381"/>
    </row>
    <row r="11" spans="2:18" ht="19.5" customHeight="1" thickBot="1" x14ac:dyDescent="0.35">
      <c r="B11" s="276" t="s">
        <v>3</v>
      </c>
      <c r="C11" s="277"/>
      <c r="D11" s="329">
        <v>7.0000000000000007E-2</v>
      </c>
      <c r="E11" s="330" t="str">
        <f>IF($I$7="",D11,"")</f>
        <v/>
      </c>
      <c r="F11" s="279" t="s">
        <v>4</v>
      </c>
      <c r="G11" s="280"/>
      <c r="H11" s="82">
        <v>16</v>
      </c>
      <c r="I11" s="278" t="s">
        <v>56</v>
      </c>
      <c r="J11" s="350">
        <f>IF($I$7="",1+E11,1)</f>
        <v>1</v>
      </c>
      <c r="K11" s="16"/>
      <c r="L11"/>
      <c r="M11"/>
      <c r="N11"/>
      <c r="R11" s="381"/>
    </row>
    <row r="12" spans="2:18" s="407" customFormat="1" ht="7.5" customHeight="1" thickBot="1" x14ac:dyDescent="0.35">
      <c r="B12" s="404"/>
      <c r="C12" s="404"/>
      <c r="D12" s="384"/>
      <c r="E12" s="384"/>
      <c r="F12" s="405"/>
      <c r="G12" s="405"/>
      <c r="H12"/>
      <c r="I12"/>
      <c r="J12" s="385"/>
      <c r="K12" s="30"/>
      <c r="L12" s="406"/>
      <c r="M12" s="406"/>
      <c r="N12" s="406"/>
      <c r="R12" s="406"/>
    </row>
    <row r="13" spans="2:18" ht="17.399999999999999" x14ac:dyDescent="0.3">
      <c r="B13" s="748" t="s">
        <v>155</v>
      </c>
      <c r="C13" s="749"/>
      <c r="D13" s="749"/>
      <c r="E13" s="749"/>
      <c r="F13" s="749"/>
      <c r="G13" s="750"/>
      <c r="H13" s="649" t="s">
        <v>140</v>
      </c>
      <c r="I13" s="408" t="s">
        <v>48</v>
      </c>
      <c r="J13" s="385"/>
      <c r="K13" s="16"/>
      <c r="L13"/>
      <c r="M13"/>
      <c r="N13"/>
      <c r="R13" s="381"/>
    </row>
    <row r="14" spans="2:18" ht="15" x14ac:dyDescent="0.25">
      <c r="B14" s="517" t="s">
        <v>139</v>
      </c>
      <c r="C14" s="648" t="s">
        <v>138</v>
      </c>
      <c r="D14" s="524">
        <v>3.25</v>
      </c>
      <c r="E14" s="394" t="s">
        <v>156</v>
      </c>
      <c r="F14" s="14"/>
      <c r="G14" s="648" t="s">
        <v>138</v>
      </c>
      <c r="H14" s="391">
        <f>35.1*0.5</f>
        <v>17.55</v>
      </c>
      <c r="I14" s="409">
        <f>10.9*0.5</f>
        <v>5.45</v>
      </c>
      <c r="J14" s="385"/>
      <c r="L14"/>
      <c r="M14"/>
      <c r="N14"/>
      <c r="R14" s="383" t="s">
        <v>307</v>
      </c>
    </row>
    <row r="15" spans="2:18" ht="16.2" x14ac:dyDescent="0.35">
      <c r="B15" s="518" t="s">
        <v>218</v>
      </c>
      <c r="C15" s="648" t="s">
        <v>206</v>
      </c>
      <c r="D15" s="525">
        <v>1.27</v>
      </c>
      <c r="E15" s="393" t="s">
        <v>321</v>
      </c>
      <c r="F15" s="14"/>
      <c r="G15" s="648" t="s">
        <v>206</v>
      </c>
      <c r="H15" s="392">
        <f>15.3</f>
        <v>15.3</v>
      </c>
      <c r="I15" s="410">
        <v>4.0999999999999996</v>
      </c>
      <c r="J15" s="385"/>
      <c r="L15"/>
      <c r="M15"/>
      <c r="N15"/>
      <c r="R15" s="666" t="s">
        <v>322</v>
      </c>
    </row>
    <row r="16" spans="2:18" ht="19.2" thickBot="1" x14ac:dyDescent="0.45">
      <c r="B16" s="639" t="s">
        <v>219</v>
      </c>
      <c r="C16" s="411" t="s">
        <v>207</v>
      </c>
      <c r="D16" s="526">
        <v>1.1499999999999999</v>
      </c>
      <c r="E16" s="412" t="s">
        <v>247</v>
      </c>
      <c r="F16" s="413"/>
      <c r="G16" s="411" t="s">
        <v>207</v>
      </c>
      <c r="H16" s="414">
        <v>19.2</v>
      </c>
      <c r="I16" s="415">
        <v>13.5</v>
      </c>
      <c r="J16"/>
      <c r="K16" s="11"/>
      <c r="L16"/>
      <c r="M16"/>
      <c r="N16"/>
      <c r="R16" s="381"/>
    </row>
    <row r="17" spans="2:18" s="390" customFormat="1" ht="5.4" customHeight="1" thickBot="1" x14ac:dyDescent="0.3">
      <c r="B17" s="386"/>
      <c r="C17" s="387"/>
      <c r="D17" s="387"/>
      <c r="E17" s="650"/>
      <c r="F17" s="386"/>
      <c r="G17" s="386"/>
      <c r="H17" s="386"/>
      <c r="I17" s="386"/>
      <c r="J17" s="388"/>
      <c r="K17" s="389"/>
      <c r="L17" s="388"/>
      <c r="M17" s="388"/>
      <c r="N17" s="388"/>
      <c r="R17" s="388"/>
    </row>
    <row r="18" spans="2:18" ht="25.8" customHeight="1" thickBot="1" x14ac:dyDescent="0.45">
      <c r="B18" s="751" t="s">
        <v>157</v>
      </c>
      <c r="C18" s="752"/>
      <c r="D18" s="752"/>
      <c r="E18" s="752"/>
      <c r="F18" s="752"/>
      <c r="G18" s="752"/>
      <c r="H18" s="752"/>
      <c r="I18" s="753"/>
      <c r="J18" s="15"/>
      <c r="K18" s="18"/>
      <c r="L18"/>
      <c r="M18"/>
      <c r="N18"/>
      <c r="O18"/>
      <c r="Q18"/>
    </row>
    <row r="19" spans="2:18" ht="20.25" customHeight="1" x14ac:dyDescent="0.25">
      <c r="B19" s="362" t="s">
        <v>220</v>
      </c>
      <c r="C19" s="508"/>
      <c r="D19" s="608">
        <v>140</v>
      </c>
      <c r="E19" s="290" t="s">
        <v>54</v>
      </c>
      <c r="F19" s="373" t="s">
        <v>221</v>
      </c>
      <c r="G19" s="301"/>
      <c r="H19" s="482">
        <v>2.2999999999999998</v>
      </c>
      <c r="I19" s="275"/>
      <c r="J19" s="15"/>
      <c r="K19" s="18"/>
      <c r="L19"/>
      <c r="M19"/>
      <c r="N19"/>
      <c r="O19"/>
      <c r="Q19"/>
      <c r="R19" s="383" t="s">
        <v>320</v>
      </c>
    </row>
    <row r="20" spans="2:18" ht="20.25" customHeight="1" x14ac:dyDescent="0.25">
      <c r="B20" s="361" t="s">
        <v>72</v>
      </c>
      <c r="C20" s="509"/>
      <c r="D20" s="472">
        <v>28</v>
      </c>
      <c r="E20" s="290" t="s">
        <v>5</v>
      </c>
      <c r="F20" s="361" t="s">
        <v>300</v>
      </c>
      <c r="G20" s="84"/>
      <c r="H20" s="483">
        <f>(D21-11)*H19-3</f>
        <v>36.099999999999994</v>
      </c>
      <c r="I20" s="290" t="s">
        <v>5</v>
      </c>
      <c r="J20" s="15"/>
      <c r="K20" s="18"/>
      <c r="L20"/>
      <c r="M20"/>
      <c r="N20"/>
      <c r="O20"/>
      <c r="Q20"/>
      <c r="R20" s="381" t="s">
        <v>212</v>
      </c>
    </row>
    <row r="21" spans="2:18" ht="20.25" customHeight="1" x14ac:dyDescent="0.25">
      <c r="B21" s="361" t="s">
        <v>6</v>
      </c>
      <c r="C21" s="509"/>
      <c r="D21" s="473">
        <v>28</v>
      </c>
      <c r="E21" s="290" t="s">
        <v>5</v>
      </c>
      <c r="F21" s="375" t="s">
        <v>299</v>
      </c>
      <c r="G21" s="86"/>
      <c r="H21" s="475">
        <f>(3+2)*1</f>
        <v>5</v>
      </c>
      <c r="I21" s="505" t="s">
        <v>56</v>
      </c>
      <c r="J21" s="19"/>
      <c r="K21" s="260"/>
      <c r="L21" s="261"/>
      <c r="M21" s="261"/>
      <c r="N21" s="262" t="s">
        <v>66</v>
      </c>
      <c r="O21" s="262" t="s">
        <v>89</v>
      </c>
      <c r="Q21"/>
      <c r="R21" s="383" t="s">
        <v>298</v>
      </c>
    </row>
    <row r="22" spans="2:18" ht="20.25" customHeight="1" x14ac:dyDescent="0.25">
      <c r="B22" s="361" t="s">
        <v>71</v>
      </c>
      <c r="C22" s="509"/>
      <c r="D22" s="474">
        <v>2.25</v>
      </c>
      <c r="E22" s="290" t="s">
        <v>57</v>
      </c>
      <c r="F22" s="361" t="s">
        <v>301</v>
      </c>
      <c r="G22" s="84"/>
      <c r="H22" s="810">
        <v>1</v>
      </c>
      <c r="I22" s="290"/>
      <c r="J22" s="19"/>
      <c r="Q22"/>
      <c r="R22" s="383" t="s">
        <v>327</v>
      </c>
    </row>
    <row r="23" spans="2:18" ht="20.25" customHeight="1" x14ac:dyDescent="0.25">
      <c r="B23" s="361" t="s">
        <v>259</v>
      </c>
      <c r="C23" s="509"/>
      <c r="D23" s="392">
        <v>5</v>
      </c>
      <c r="E23" s="290" t="s">
        <v>54</v>
      </c>
      <c r="F23" s="375" t="s">
        <v>323</v>
      </c>
      <c r="G23" s="335"/>
      <c r="H23" s="527">
        <f>$D$14*$H$14+$D$15*$H$15+$D$16*$H$16</f>
        <v>98.548500000000004</v>
      </c>
      <c r="I23" s="505" t="s">
        <v>56</v>
      </c>
      <c r="J23" s="19"/>
      <c r="Q23"/>
      <c r="R23" s="383" t="s">
        <v>324</v>
      </c>
    </row>
    <row r="24" spans="2:18" ht="20.25" customHeight="1" x14ac:dyDescent="0.25">
      <c r="B24" s="375" t="s">
        <v>136</v>
      </c>
      <c r="C24" s="510"/>
      <c r="D24" s="475">
        <v>3</v>
      </c>
      <c r="E24" s="505" t="s">
        <v>54</v>
      </c>
      <c r="F24" s="531" t="s">
        <v>240</v>
      </c>
      <c r="G24" s="530"/>
      <c r="H24" s="352">
        <f>SUM(H26:H34)</f>
        <v>422.92689516448797</v>
      </c>
      <c r="I24" s="290" t="s">
        <v>54</v>
      </c>
      <c r="J24" s="19"/>
      <c r="K24" s="15" t="str">
        <f>B53</f>
        <v>Bestandsergänzung</v>
      </c>
      <c r="L24" s="51"/>
      <c r="M24" s="51"/>
      <c r="N24" s="225">
        <f>G53</f>
        <v>181.48148148148147</v>
      </c>
      <c r="O24" s="230">
        <f t="shared" ref="O24:O37" si="0">N24/$G$41</f>
        <v>9.5516569200779724</v>
      </c>
      <c r="P24" s="429">
        <f>O24/$O$40</f>
        <v>6.4688059534188186E-2</v>
      </c>
      <c r="Q24"/>
      <c r="R24" s="383" t="s">
        <v>214</v>
      </c>
    </row>
    <row r="25" spans="2:18" ht="20.25" customHeight="1" x14ac:dyDescent="0.25">
      <c r="B25" s="83" t="s">
        <v>8</v>
      </c>
      <c r="C25" s="84"/>
      <c r="D25" s="476">
        <v>200</v>
      </c>
      <c r="E25" s="290" t="s">
        <v>5</v>
      </c>
      <c r="F25" s="378" t="s">
        <v>7</v>
      </c>
      <c r="G25" s="529" t="s">
        <v>248</v>
      </c>
      <c r="H25" s="351"/>
      <c r="I25" s="507"/>
      <c r="J25" s="11"/>
      <c r="K25" s="15" t="s">
        <v>80</v>
      </c>
      <c r="L25" s="51"/>
      <c r="M25" s="51"/>
      <c r="N25" s="225">
        <f>G51+G50+G52</f>
        <v>1220.731</v>
      </c>
      <c r="O25" s="230">
        <f t="shared" si="0"/>
        <v>64.248999999999995</v>
      </c>
      <c r="P25" s="429">
        <f>O25/$O$40</f>
        <v>0.4351227406708541</v>
      </c>
      <c r="Q25"/>
      <c r="R25" s="381"/>
    </row>
    <row r="26" spans="2:18" ht="20.25" customHeight="1" x14ac:dyDescent="0.25">
      <c r="B26" s="361" t="s">
        <v>256</v>
      </c>
      <c r="C26" s="84"/>
      <c r="D26" s="392">
        <v>2.5</v>
      </c>
      <c r="E26" s="290" t="s">
        <v>57</v>
      </c>
      <c r="F26" s="377" t="s">
        <v>239</v>
      </c>
      <c r="G26" s="392">
        <f>4*G41+60</f>
        <v>136</v>
      </c>
      <c r="H26" s="485">
        <f>IF($I$7="",G26,G26/J26)</f>
        <v>114.28571428571429</v>
      </c>
      <c r="I26" s="290" t="s">
        <v>54</v>
      </c>
      <c r="J26" s="334">
        <f>1+$D$10</f>
        <v>1.19</v>
      </c>
      <c r="K26" s="15" t="str">
        <f t="shared" ref="K26:K32" si="1">F26</f>
        <v xml:space="preserve">    Tierarzt, Medikamente (inkl. Myko)</v>
      </c>
      <c r="L26" s="51"/>
      <c r="M26" s="51"/>
      <c r="N26" s="225">
        <f t="shared" ref="N26:N32" si="2">G26</f>
        <v>136</v>
      </c>
      <c r="O26" s="230">
        <f t="shared" si="0"/>
        <v>7.1578947368421053</v>
      </c>
      <c r="P26" s="429">
        <f t="shared" ref="P26:P32" si="3">O26/$O$40</f>
        <v>4.8476439716232451E-2</v>
      </c>
      <c r="Q26"/>
      <c r="R26" s="383" t="s">
        <v>279</v>
      </c>
    </row>
    <row r="27" spans="2:18" ht="20.25" customHeight="1" x14ac:dyDescent="0.25">
      <c r="B27" s="361" t="s">
        <v>255</v>
      </c>
      <c r="C27" s="84"/>
      <c r="D27" s="476">
        <v>490</v>
      </c>
      <c r="E27" s="290" t="s">
        <v>54</v>
      </c>
      <c r="F27" s="377" t="s">
        <v>179</v>
      </c>
      <c r="G27" s="392">
        <v>23</v>
      </c>
      <c r="H27" s="485">
        <f t="shared" ref="H27:H30" si="4">IF($I$7="",G27,G27/J27)</f>
        <v>20.77687443541102</v>
      </c>
      <c r="I27" s="290" t="s">
        <v>54</v>
      </c>
      <c r="J27" s="334">
        <f>1+$D$9</f>
        <v>1.107</v>
      </c>
      <c r="K27" s="15" t="str">
        <f t="shared" si="1"/>
        <v xml:space="preserve">    Verluste, Versicherungen</v>
      </c>
      <c r="L27" s="51"/>
      <c r="M27" s="51"/>
      <c r="N27" s="225">
        <f t="shared" si="2"/>
        <v>23</v>
      </c>
      <c r="O27" s="230">
        <f t="shared" si="0"/>
        <v>1.2105263157894737</v>
      </c>
      <c r="P27" s="429">
        <f t="shared" si="3"/>
        <v>8.1982214225981356E-3</v>
      </c>
      <c r="Q27"/>
      <c r="R27" s="383" t="s">
        <v>243</v>
      </c>
    </row>
    <row r="28" spans="2:18" ht="20.25" customHeight="1" x14ac:dyDescent="0.25">
      <c r="B28" s="85" t="s">
        <v>9</v>
      </c>
      <c r="C28" s="86"/>
      <c r="D28" s="477">
        <v>2.7</v>
      </c>
      <c r="E28" s="505" t="s">
        <v>10</v>
      </c>
      <c r="F28" s="377" t="s">
        <v>183</v>
      </c>
      <c r="G28" s="392">
        <v>35</v>
      </c>
      <c r="H28" s="485">
        <f t="shared" si="4"/>
        <v>29.411764705882355</v>
      </c>
      <c r="I28" s="290" t="s">
        <v>54</v>
      </c>
      <c r="J28" s="334">
        <f t="shared" ref="J28:J36" si="5">1+$D$10</f>
        <v>1.19</v>
      </c>
      <c r="K28" s="15" t="str">
        <f t="shared" si="1"/>
        <v xml:space="preserve">    Besamung</v>
      </c>
      <c r="L28" s="51"/>
      <c r="M28" s="51"/>
      <c r="N28" s="225">
        <f t="shared" si="2"/>
        <v>35</v>
      </c>
      <c r="O28" s="230">
        <f t="shared" si="0"/>
        <v>1.8421052631578947</v>
      </c>
      <c r="P28" s="429">
        <f t="shared" si="3"/>
        <v>1.2475554338736292E-2</v>
      </c>
      <c r="Q28"/>
      <c r="R28" s="383" t="s">
        <v>224</v>
      </c>
    </row>
    <row r="29" spans="2:18" ht="20.25" customHeight="1" x14ac:dyDescent="0.25">
      <c r="B29" s="83" t="s">
        <v>11</v>
      </c>
      <c r="C29" s="84"/>
      <c r="D29" s="392">
        <v>14</v>
      </c>
      <c r="E29" s="290" t="s">
        <v>12</v>
      </c>
      <c r="F29" s="377" t="s">
        <v>180</v>
      </c>
      <c r="G29" s="392">
        <v>100</v>
      </c>
      <c r="H29" s="485">
        <f t="shared" si="4"/>
        <v>84.033613445378151</v>
      </c>
      <c r="I29" s="290" t="s">
        <v>54</v>
      </c>
      <c r="J29" s="334">
        <f t="shared" si="5"/>
        <v>1.19</v>
      </c>
      <c r="K29" s="15" t="str">
        <f t="shared" si="1"/>
        <v xml:space="preserve">    Energie, Wasser</v>
      </c>
      <c r="L29" s="51"/>
      <c r="M29" s="51"/>
      <c r="N29" s="225">
        <f t="shared" si="2"/>
        <v>100</v>
      </c>
      <c r="O29" s="230">
        <f t="shared" si="0"/>
        <v>5.2631578947368425</v>
      </c>
      <c r="P29" s="429">
        <f t="shared" si="3"/>
        <v>3.5644440967817985E-2</v>
      </c>
      <c r="Q29"/>
      <c r="R29" s="383" t="s">
        <v>229</v>
      </c>
    </row>
    <row r="30" spans="2:18" ht="20.25" customHeight="1" x14ac:dyDescent="0.25">
      <c r="B30" s="361" t="s">
        <v>159</v>
      </c>
      <c r="C30" s="84"/>
      <c r="D30" s="478">
        <v>59</v>
      </c>
      <c r="E30" s="290" t="s">
        <v>55</v>
      </c>
      <c r="F30" s="377" t="s">
        <v>181</v>
      </c>
      <c r="G30" s="392">
        <f>10*13</f>
        <v>130</v>
      </c>
      <c r="H30" s="485">
        <f t="shared" si="4"/>
        <v>109.24369747899161</v>
      </c>
      <c r="I30" s="290" t="s">
        <v>54</v>
      </c>
      <c r="J30" s="334">
        <f t="shared" si="5"/>
        <v>1.19</v>
      </c>
      <c r="K30" s="15" t="str">
        <f t="shared" si="1"/>
        <v xml:space="preserve">    Einstreu</v>
      </c>
      <c r="L30" s="51"/>
      <c r="M30" s="51"/>
      <c r="N30" s="225">
        <f t="shared" si="2"/>
        <v>130</v>
      </c>
      <c r="O30" s="230">
        <f t="shared" si="0"/>
        <v>6.8421052631578947</v>
      </c>
      <c r="P30" s="429">
        <f t="shared" si="3"/>
        <v>4.6337773258163371E-2</v>
      </c>
      <c r="Q30"/>
      <c r="R30" s="383" t="s">
        <v>225</v>
      </c>
    </row>
    <row r="31" spans="2:18" ht="20.25" customHeight="1" x14ac:dyDescent="0.25">
      <c r="B31" s="83" t="s">
        <v>13</v>
      </c>
      <c r="C31" s="84"/>
      <c r="D31" s="478">
        <v>49.5</v>
      </c>
      <c r="E31" s="290" t="s">
        <v>55</v>
      </c>
      <c r="F31" s="377" t="s">
        <v>242</v>
      </c>
      <c r="G31" s="392">
        <v>30</v>
      </c>
      <c r="H31" s="485">
        <f>IF($I$7="",G31,G31/J31)</f>
        <v>25.210084033613448</v>
      </c>
      <c r="I31" s="290" t="s">
        <v>54</v>
      </c>
      <c r="J31" s="334">
        <f>1+$D$10</f>
        <v>1.19</v>
      </c>
      <c r="K31" s="15" t="str">
        <f t="shared" si="1"/>
        <v xml:space="preserve">    var. Masch.kost. inkl. Mistausbr.</v>
      </c>
      <c r="L31" s="51"/>
      <c r="M31" s="51"/>
      <c r="N31" s="225">
        <f t="shared" si="2"/>
        <v>30</v>
      </c>
      <c r="O31" s="230">
        <f t="shared" si="0"/>
        <v>1.5789473684210527</v>
      </c>
      <c r="P31" s="429">
        <f t="shared" si="3"/>
        <v>1.0693332290345395E-2</v>
      </c>
      <c r="Q31"/>
      <c r="R31" s="383" t="s">
        <v>236</v>
      </c>
    </row>
    <row r="32" spans="2:18" ht="20.25" customHeight="1" x14ac:dyDescent="0.25">
      <c r="B32" s="361" t="s">
        <v>285</v>
      </c>
      <c r="C32" s="84"/>
      <c r="D32" s="392">
        <v>4.5</v>
      </c>
      <c r="E32" s="290" t="s">
        <v>283</v>
      </c>
      <c r="F32" s="377" t="s">
        <v>182</v>
      </c>
      <c r="G32" s="392">
        <v>10</v>
      </c>
      <c r="H32" s="485">
        <f>IF($I$7="",G32,G32/J32)</f>
        <v>8.4033613445378155</v>
      </c>
      <c r="I32" s="290" t="s">
        <v>54</v>
      </c>
      <c r="J32" s="334">
        <f t="shared" si="5"/>
        <v>1.19</v>
      </c>
      <c r="K32" s="15" t="str">
        <f t="shared" si="1"/>
        <v xml:space="preserve">    Beratung, Kontrolle</v>
      </c>
      <c r="L32" s="51"/>
      <c r="M32" s="51"/>
      <c r="N32" s="225">
        <f t="shared" si="2"/>
        <v>10</v>
      </c>
      <c r="O32" s="230">
        <f t="shared" si="0"/>
        <v>0.52631578947368418</v>
      </c>
      <c r="P32" s="429">
        <f t="shared" si="3"/>
        <v>3.5644440967817978E-3</v>
      </c>
      <c r="Q32"/>
      <c r="R32" s="383" t="s">
        <v>286</v>
      </c>
    </row>
    <row r="33" spans="2:28" ht="20.25" customHeight="1" x14ac:dyDescent="0.25">
      <c r="B33" s="361" t="s">
        <v>282</v>
      </c>
      <c r="C33" s="84"/>
      <c r="D33" s="478">
        <f>(2*8.2+1*2.3)/3</f>
        <v>6.2333333333333334</v>
      </c>
      <c r="E33" s="290" t="s">
        <v>284</v>
      </c>
      <c r="F33" s="376" t="s">
        <v>184</v>
      </c>
      <c r="G33" s="392">
        <v>20</v>
      </c>
      <c r="H33" s="485">
        <f t="shared" ref="H33" si="6">IF($I$7="",G33,G33/J33)</f>
        <v>16.806722689075631</v>
      </c>
      <c r="I33" s="290" t="s">
        <v>54</v>
      </c>
      <c r="J33" s="334">
        <f t="shared" si="5"/>
        <v>1.19</v>
      </c>
      <c r="K33" s="15" t="str">
        <f>F33</f>
        <v xml:space="preserve">    Sonstiges Material</v>
      </c>
      <c r="L33" s="51"/>
      <c r="M33" s="51"/>
      <c r="N33" s="225">
        <f>G33</f>
        <v>20</v>
      </c>
      <c r="O33" s="230">
        <f t="shared" si="0"/>
        <v>1.0526315789473684</v>
      </c>
      <c r="P33" s="429">
        <f>O34/$O$40</f>
        <v>5.2593596302210246E-3</v>
      </c>
      <c r="Q33"/>
    </row>
    <row r="34" spans="2:28" ht="20.25" customHeight="1" x14ac:dyDescent="0.25">
      <c r="B34" s="378" t="s">
        <v>199</v>
      </c>
      <c r="C34" s="379"/>
      <c r="D34" s="479">
        <v>8000</v>
      </c>
      <c r="E34" s="506" t="s">
        <v>241</v>
      </c>
      <c r="F34" s="356" t="s">
        <v>213</v>
      </c>
      <c r="G34" s="484">
        <v>1.4999999999999999E-2</v>
      </c>
      <c r="H34" s="486">
        <f>((D27*J11+D26*D25*J9)/2+0.3*(H26+H27+H28+H29+H30+H31+H32+H33+G51+G50+G52))*G34</f>
        <v>14.755062745883718</v>
      </c>
      <c r="I34" s="505" t="s">
        <v>54</v>
      </c>
      <c r="J34" s="334">
        <f t="shared" si="5"/>
        <v>1.19</v>
      </c>
      <c r="K34" s="15" t="str">
        <f>F34</f>
        <v>Zinsansatz Vieh- und Umlaufverm.</v>
      </c>
      <c r="L34" s="51"/>
      <c r="M34" s="51"/>
      <c r="N34" s="225">
        <f>H34</f>
        <v>14.755062745883718</v>
      </c>
      <c r="O34" s="230">
        <f t="shared" si="0"/>
        <v>0.77658224978335355</v>
      </c>
      <c r="P34" s="429">
        <f>O35/$O$40</f>
        <v>7.1288881935635956E-3</v>
      </c>
      <c r="Q34" s="381"/>
      <c r="R34" s="383" t="s">
        <v>268</v>
      </c>
    </row>
    <row r="35" spans="2:28" ht="20.25" customHeight="1" x14ac:dyDescent="0.25">
      <c r="B35" s="361" t="s">
        <v>312</v>
      </c>
      <c r="C35" s="84"/>
      <c r="D35" s="480">
        <f>IF($E$7="",D34*$J$10-D34*$H$10%,D34*$J$10)</f>
        <v>4800</v>
      </c>
      <c r="E35" s="290" t="s">
        <v>241</v>
      </c>
      <c r="F35" s="302" t="s">
        <v>14</v>
      </c>
      <c r="G35" s="392">
        <v>20</v>
      </c>
      <c r="H35" s="485">
        <f>IF($I$7="",G35,G35/J36)</f>
        <v>16.806722689075631</v>
      </c>
      <c r="I35" s="290" t="s">
        <v>56</v>
      </c>
      <c r="K35" s="15" t="str">
        <f>B62</f>
        <v>Gemeinkosten</v>
      </c>
      <c r="L35" s="51"/>
      <c r="M35" s="51"/>
      <c r="N35" s="231">
        <f>G35</f>
        <v>20</v>
      </c>
      <c r="O35" s="230">
        <f t="shared" si="0"/>
        <v>1.0526315789473684</v>
      </c>
      <c r="P35" s="429">
        <f>O36/$O$40</f>
        <v>0.17109331664552632</v>
      </c>
      <c r="Q35" s="381"/>
      <c r="R35" s="383" t="s">
        <v>211</v>
      </c>
    </row>
    <row r="36" spans="2:28" ht="20.25" customHeight="1" x14ac:dyDescent="0.25">
      <c r="B36" s="361" t="s">
        <v>200</v>
      </c>
      <c r="C36" s="377"/>
      <c r="D36" s="481">
        <v>520</v>
      </c>
      <c r="E36" s="290" t="s">
        <v>241</v>
      </c>
      <c r="F36" s="361" t="s">
        <v>130</v>
      </c>
      <c r="G36" s="464"/>
      <c r="H36" s="487">
        <v>30</v>
      </c>
      <c r="I36" s="290" t="s">
        <v>16</v>
      </c>
      <c r="J36" s="334">
        <f t="shared" si="5"/>
        <v>1.19</v>
      </c>
      <c r="K36" s="15" t="s">
        <v>83</v>
      </c>
      <c r="L36" s="51"/>
      <c r="M36" s="51"/>
      <c r="N36" s="231">
        <f>H36*H11</f>
        <v>480</v>
      </c>
      <c r="O36" s="230">
        <f t="shared" si="0"/>
        <v>25.263157894736842</v>
      </c>
      <c r="P36" s="429"/>
      <c r="Q36" s="381"/>
      <c r="R36" s="381"/>
    </row>
    <row r="37" spans="2:28" ht="20.25" customHeight="1" x14ac:dyDescent="0.25">
      <c r="B37" s="362" t="s">
        <v>313</v>
      </c>
      <c r="C37" s="377"/>
      <c r="D37" s="480">
        <f>IF($E$7="",D36*$J$10-D36*$H$10%,D36*$J$10)</f>
        <v>312</v>
      </c>
      <c r="E37" s="290" t="s">
        <v>241</v>
      </c>
      <c r="F37" s="361" t="s">
        <v>196</v>
      </c>
      <c r="G37" s="464"/>
      <c r="H37" s="487">
        <v>20</v>
      </c>
      <c r="I37" s="290" t="s">
        <v>10</v>
      </c>
      <c r="J37" s="334"/>
      <c r="K37" s="15" t="s">
        <v>82</v>
      </c>
      <c r="L37" s="51"/>
      <c r="M37" s="51"/>
      <c r="N37" s="231">
        <f>G61</f>
        <v>404.51901369863015</v>
      </c>
      <c r="O37" s="230">
        <f t="shared" si="0"/>
        <v>21.290474405191059</v>
      </c>
      <c r="P37" s="429"/>
      <c r="Q37" s="381"/>
      <c r="R37" s="383" t="s">
        <v>203</v>
      </c>
    </row>
    <row r="38" spans="2:28" ht="20.25" customHeight="1" thickBot="1" x14ac:dyDescent="0.3">
      <c r="B38" s="357" t="s">
        <v>198</v>
      </c>
      <c r="C38" s="467"/>
      <c r="D38" s="488">
        <f>365/48</f>
        <v>7.604166666666667</v>
      </c>
      <c r="E38" s="619"/>
      <c r="F38" s="357" t="s">
        <v>197</v>
      </c>
      <c r="G38" s="465"/>
      <c r="H38" s="488">
        <v>1</v>
      </c>
      <c r="I38" s="466" t="s">
        <v>2</v>
      </c>
      <c r="J38" s="11"/>
      <c r="L38" s="51"/>
      <c r="M38" s="51"/>
      <c r="P38" s="429">
        <f>O37/$O$40</f>
        <v>0.14418854104140774</v>
      </c>
      <c r="Q38" s="381"/>
      <c r="R38" s="381" t="s">
        <v>185</v>
      </c>
      <c r="V38"/>
      <c r="W38"/>
      <c r="X38"/>
      <c r="Y38"/>
      <c r="Z38"/>
      <c r="AA38"/>
      <c r="AB38"/>
    </row>
    <row r="39" spans="2:28" ht="7.5" customHeight="1" thickBot="1" x14ac:dyDescent="0.35">
      <c r="B39" s="30"/>
      <c r="C39" s="30"/>
      <c r="D39" s="31"/>
      <c r="E39" s="29"/>
      <c r="F39" s="30"/>
      <c r="G39" s="28"/>
      <c r="H39" s="31"/>
      <c r="I39" s="29"/>
      <c r="J39" s="11"/>
      <c r="Q39"/>
      <c r="R39"/>
      <c r="V39"/>
      <c r="W39"/>
      <c r="X39"/>
      <c r="Y39"/>
      <c r="Z39"/>
      <c r="AA39"/>
      <c r="AB39"/>
    </row>
    <row r="40" spans="2:28" s="50" customFormat="1" ht="23.25" customHeight="1" x14ac:dyDescent="0.3">
      <c r="B40" s="125" t="s">
        <v>128</v>
      </c>
      <c r="C40" s="602"/>
      <c r="D40" s="610"/>
      <c r="E40" s="611"/>
      <c r="F40" s="604" t="s">
        <v>106</v>
      </c>
      <c r="G40" s="605"/>
      <c r="H40" s="606"/>
      <c r="I40" s="607"/>
      <c r="J40" s="70"/>
      <c r="K40" s="233" t="s">
        <v>87</v>
      </c>
      <c r="L40" s="55"/>
      <c r="M40" s="55"/>
      <c r="N40" s="234">
        <f>SUM(N24:N37)</f>
        <v>2805.4865579259954</v>
      </c>
      <c r="O40" s="235">
        <f>N40/$G$41</f>
        <v>147.65718725926291</v>
      </c>
      <c r="P40" s="47"/>
      <c r="Q40" s="47"/>
      <c r="R40" s="47"/>
    </row>
    <row r="41" spans="2:28" s="50" customFormat="1" ht="17.7" customHeight="1" thickBot="1" x14ac:dyDescent="0.35">
      <c r="B41" s="612" t="str">
        <f>IF($I$7="",$H$6,$H$7)</f>
        <v xml:space="preserve">Regelbesteuerung </v>
      </c>
      <c r="C41" s="603" t="str">
        <f>IF($E$7="","mit Inv.förderung","ohne Inv.Förderung")</f>
        <v>mit Inv.förderung</v>
      </c>
      <c r="D41" s="374">
        <f>IF($E$6=0," ",$H$10/100)</f>
        <v>0.4</v>
      </c>
      <c r="E41" s="613"/>
      <c r="F41" s="166">
        <v>16</v>
      </c>
      <c r="G41" s="166">
        <v>19</v>
      </c>
      <c r="H41" s="698">
        <v>22</v>
      </c>
      <c r="I41" s="699"/>
      <c r="J41" s="70"/>
      <c r="K41" s="15" t="s">
        <v>85</v>
      </c>
      <c r="L41" s="226"/>
      <c r="M41" s="226"/>
      <c r="N41" s="227">
        <f>G45+G46</f>
        <v>283.73368518518515</v>
      </c>
      <c r="O41" s="230">
        <f>N41/$G$41</f>
        <v>14.93335185185185</v>
      </c>
      <c r="P41" s="49"/>
      <c r="Q41" s="49"/>
      <c r="R41" s="49"/>
    </row>
    <row r="42" spans="2:28" ht="20.100000000000001" customHeight="1" x14ac:dyDescent="0.25">
      <c r="B42" s="126" t="s">
        <v>42</v>
      </c>
      <c r="C42" s="127"/>
      <c r="D42" s="128"/>
      <c r="E42" s="129" t="s">
        <v>5</v>
      </c>
      <c r="F42" s="130">
        <f>$D$21</f>
        <v>28</v>
      </c>
      <c r="G42" s="130">
        <f>$D$21</f>
        <v>28</v>
      </c>
      <c r="H42" s="131">
        <f>$D$21</f>
        <v>28</v>
      </c>
      <c r="I42" s="132"/>
      <c r="J42" s="11"/>
      <c r="K42" s="15" t="s">
        <v>88</v>
      </c>
      <c r="L42" s="226"/>
      <c r="M42" s="226"/>
      <c r="N42" s="228">
        <f>N40-N41</f>
        <v>2521.7528727408103</v>
      </c>
      <c r="O42" s="230">
        <f>N42/$G$41</f>
        <v>132.72383540741106</v>
      </c>
      <c r="P42" s="2"/>
      <c r="Q42" s="2"/>
      <c r="R42" s="2"/>
    </row>
    <row r="43" spans="2:28" ht="20.100000000000001" customHeight="1" x14ac:dyDescent="0.25">
      <c r="B43" s="126" t="s">
        <v>126</v>
      </c>
      <c r="C43" s="127"/>
      <c r="D43" s="128"/>
      <c r="E43" s="129" t="s">
        <v>56</v>
      </c>
      <c r="F43" s="133">
        <f>(($D$21-$D$20)*$D$22+$D$19+$D$23+$D$24)*$J$9</f>
        <v>148</v>
      </c>
      <c r="G43" s="133">
        <f>(($D$21-$D$20)*$D$22+$D$19+$D$23+$D$24)*$J$9</f>
        <v>148</v>
      </c>
      <c r="H43" s="137">
        <f>(($D$21-$D$20)*$D$22+$D$19+$D$23+$D$24)*$J$9</f>
        <v>148</v>
      </c>
      <c r="I43" s="135"/>
      <c r="J43" s="20"/>
    </row>
    <row r="44" spans="2:28" ht="20.100000000000001" customHeight="1" x14ac:dyDescent="0.25">
      <c r="B44" s="126" t="s">
        <v>127</v>
      </c>
      <c r="C44" s="127"/>
      <c r="D44" s="128"/>
      <c r="E44" s="129" t="s">
        <v>56</v>
      </c>
      <c r="F44" s="136">
        <f>F41*F43</f>
        <v>2368</v>
      </c>
      <c r="G44" s="136">
        <f>G41*G43</f>
        <v>2812</v>
      </c>
      <c r="H44" s="134">
        <f>H41*H43</f>
        <v>3256</v>
      </c>
      <c r="I44" s="135"/>
      <c r="J44" s="13"/>
    </row>
    <row r="45" spans="2:28" ht="20.100000000000001" customHeight="1" x14ac:dyDescent="0.25">
      <c r="B45" s="126" t="s">
        <v>18</v>
      </c>
      <c r="C45" s="127"/>
      <c r="D45" s="128"/>
      <c r="E45" s="129" t="s">
        <v>56</v>
      </c>
      <c r="F45" s="133">
        <f>(D25*D26*J9)/D28</f>
        <v>185.18518518518516</v>
      </c>
      <c r="G45" s="133">
        <f>$F$45</f>
        <v>185.18518518518516</v>
      </c>
      <c r="H45" s="137">
        <f>$F$45</f>
        <v>185.18518518518516</v>
      </c>
      <c r="I45" s="138"/>
      <c r="J45" s="13"/>
      <c r="K45" s="13"/>
      <c r="L45" s="62"/>
      <c r="M45" s="62"/>
      <c r="N45" s="242" t="s">
        <v>92</v>
      </c>
      <c r="O45" s="242" t="s">
        <v>48</v>
      </c>
      <c r="P45" s="242" t="s">
        <v>92</v>
      </c>
      <c r="Q45" s="242" t="s">
        <v>48</v>
      </c>
      <c r="R45" s="383"/>
    </row>
    <row r="46" spans="2:28" ht="20.100000000000001" customHeight="1" x14ac:dyDescent="0.25">
      <c r="B46" s="126" t="s">
        <v>19</v>
      </c>
      <c r="C46" s="127"/>
      <c r="D46" s="128"/>
      <c r="E46" s="129" t="s">
        <v>56</v>
      </c>
      <c r="F46" s="133">
        <f>IF($I$6="",$H$22*$H$23,$H$22*$H$23*(1+$D$10))</f>
        <v>98.548500000000004</v>
      </c>
      <c r="G46" s="133">
        <f>F46</f>
        <v>98.548500000000004</v>
      </c>
      <c r="H46" s="696">
        <f>F46</f>
        <v>98.548500000000004</v>
      </c>
      <c r="I46" s="697"/>
      <c r="J46" s="13"/>
      <c r="K46" s="13" t="s">
        <v>21</v>
      </c>
      <c r="L46" s="62"/>
      <c r="M46" s="62"/>
      <c r="N46" s="241">
        <f>O24</f>
        <v>9.5516569200779724</v>
      </c>
      <c r="O46" s="241">
        <f>O88</f>
        <v>151</v>
      </c>
      <c r="P46" s="428">
        <f t="shared" ref="P46:P51" si="7">N46/$N$51</f>
        <v>6.4688059534188186E-2</v>
      </c>
      <c r="Q46" s="243">
        <f t="shared" ref="Q46:Q51" si="8">O46/$O$51</f>
        <v>0.38979979680429094</v>
      </c>
      <c r="R46" s="383"/>
    </row>
    <row r="47" spans="2:28" s="58" customFormat="1" ht="20.100000000000001" customHeight="1" x14ac:dyDescent="0.35">
      <c r="B47" s="140" t="s">
        <v>254</v>
      </c>
      <c r="C47" s="141"/>
      <c r="D47" s="142"/>
      <c r="E47" s="143" t="s">
        <v>56</v>
      </c>
      <c r="F47" s="144">
        <f>F44+F45+F46</f>
        <v>2651.7336851851851</v>
      </c>
      <c r="G47" s="144">
        <f>G44+G45+G46</f>
        <v>3095.7336851851851</v>
      </c>
      <c r="H47" s="145">
        <f>H44+H45+H46</f>
        <v>3539.7336851851851</v>
      </c>
      <c r="I47" s="146"/>
      <c r="J47" s="57"/>
      <c r="K47" s="13" t="s">
        <v>80</v>
      </c>
      <c r="L47" s="62"/>
      <c r="M47" s="62"/>
      <c r="N47" s="241">
        <f>O25</f>
        <v>64.248999999999995</v>
      </c>
      <c r="O47" s="241">
        <f>O89</f>
        <v>162.814388185654</v>
      </c>
      <c r="P47" s="428">
        <f t="shared" si="7"/>
        <v>0.4351227406708541</v>
      </c>
      <c r="Q47" s="243">
        <f t="shared" si="8"/>
        <v>0.4202981154409462</v>
      </c>
      <c r="R47" s="383"/>
      <c r="S47" s="59"/>
      <c r="T47" s="59"/>
      <c r="U47" s="59"/>
      <c r="V47" s="59"/>
      <c r="W47" s="59"/>
      <c r="X47" s="59"/>
      <c r="Y47" s="59"/>
      <c r="Z47" s="59"/>
    </row>
    <row r="48" spans="2:28" s="58" customFormat="1" ht="20.100000000000001" customHeight="1" x14ac:dyDescent="0.35">
      <c r="B48" s="126" t="s">
        <v>280</v>
      </c>
      <c r="C48" s="127"/>
      <c r="D48" s="128"/>
      <c r="E48" s="129" t="s">
        <v>5</v>
      </c>
      <c r="F48" s="130">
        <f>$H$20+5</f>
        <v>41.099999999999994</v>
      </c>
      <c r="G48" s="130">
        <f>$H$20+5</f>
        <v>41.099999999999994</v>
      </c>
      <c r="H48" s="756">
        <f>$H$20+5</f>
        <v>41.099999999999994</v>
      </c>
      <c r="I48" s="757"/>
      <c r="J48" s="57"/>
      <c r="K48" s="13" t="s">
        <v>90</v>
      </c>
      <c r="L48" s="62"/>
      <c r="M48" s="62"/>
      <c r="N48" s="241">
        <f>SUM(O26:O34)</f>
        <v>26.250266460309668</v>
      </c>
      <c r="O48" s="241">
        <f>SUM(O90:O97)</f>
        <v>35.065079753105607</v>
      </c>
      <c r="P48" s="428">
        <f t="shared" si="7"/>
        <v>0.17777845391446004</v>
      </c>
      <c r="Q48" s="243">
        <f t="shared" si="8"/>
        <v>9.0518946772760414E-2</v>
      </c>
      <c r="R48" s="383" t="s">
        <v>223</v>
      </c>
      <c r="S48" s="59"/>
      <c r="T48" s="59"/>
      <c r="U48" s="59"/>
      <c r="V48" s="59"/>
      <c r="W48" s="59"/>
      <c r="X48" s="59"/>
      <c r="Y48" s="59"/>
      <c r="Z48" s="59"/>
    </row>
    <row r="49" spans="2:26" s="58" customFormat="1" ht="20.100000000000001" customHeight="1" x14ac:dyDescent="0.35">
      <c r="B49" s="154" t="s">
        <v>20</v>
      </c>
      <c r="C49" s="155"/>
      <c r="D49" s="156"/>
      <c r="E49" s="157" t="s">
        <v>12</v>
      </c>
      <c r="F49" s="341">
        <f>F48*F41/100</f>
        <v>6.5759999999999987</v>
      </c>
      <c r="G49" s="341">
        <f>G48*G41/100</f>
        <v>7.8089999999999984</v>
      </c>
      <c r="H49" s="760">
        <f>H48*H41/100</f>
        <v>9.041999999999998</v>
      </c>
      <c r="I49" s="761"/>
      <c r="J49" s="57"/>
      <c r="K49" s="13" t="s">
        <v>91</v>
      </c>
      <c r="L49" s="62"/>
      <c r="M49" s="62"/>
      <c r="N49" s="241">
        <f>O37+O35</f>
        <v>22.343105984138429</v>
      </c>
      <c r="O49" s="241">
        <f>O99+O98</f>
        <v>20.671453780055462</v>
      </c>
      <c r="P49" s="428">
        <f t="shared" si="7"/>
        <v>0.15131742923497135</v>
      </c>
      <c r="Q49" s="243">
        <f t="shared" si="8"/>
        <v>5.3362440285529208E-2</v>
      </c>
      <c r="R49" s="383"/>
      <c r="S49" s="59"/>
      <c r="T49" s="59"/>
      <c r="U49" s="59"/>
      <c r="V49" s="59"/>
      <c r="W49" s="59"/>
      <c r="X49" s="59"/>
      <c r="Y49" s="59"/>
      <c r="Z49" s="59"/>
    </row>
    <row r="50" spans="2:26" s="58" customFormat="1" ht="20.100000000000001" customHeight="1" x14ac:dyDescent="0.35">
      <c r="B50" s="126" t="s">
        <v>222</v>
      </c>
      <c r="C50" s="127"/>
      <c r="D50" s="128"/>
      <c r="E50" s="129" t="s">
        <v>56</v>
      </c>
      <c r="F50" s="133">
        <f>($H$20*$D$30/100+$H$21)*F41*$J$11</f>
        <v>420.78399999999993</v>
      </c>
      <c r="G50" s="133">
        <f>($H$20*$D$30/100+$H$21)*G41*$J$11</f>
        <v>499.68099999999993</v>
      </c>
      <c r="H50" s="754">
        <f t="shared" ref="H50:I50" si="9">($H$20*$D$30/100+$H$21)*H41*$J$11</f>
        <v>578.57799999999986</v>
      </c>
      <c r="I50" s="755">
        <f t="shared" si="9"/>
        <v>0</v>
      </c>
      <c r="J50" s="57"/>
      <c r="K50" s="13" t="s">
        <v>83</v>
      </c>
      <c r="L50" s="62"/>
      <c r="M50" s="62"/>
      <c r="N50" s="241">
        <f>O36</f>
        <v>25.263157894736842</v>
      </c>
      <c r="O50" s="241">
        <f>O100</f>
        <v>17.82742285177855</v>
      </c>
      <c r="P50" s="428">
        <f t="shared" si="7"/>
        <v>0.17109331664552632</v>
      </c>
      <c r="Q50" s="243">
        <f t="shared" si="8"/>
        <v>4.6020700696473189E-2</v>
      </c>
      <c r="R50" s="383"/>
      <c r="S50" s="59"/>
      <c r="T50" s="59"/>
      <c r="U50" s="59"/>
      <c r="V50" s="59"/>
      <c r="W50" s="59"/>
      <c r="X50" s="59"/>
      <c r="Y50" s="59"/>
      <c r="Z50" s="59"/>
    </row>
    <row r="51" spans="2:26" ht="20.100000000000001" customHeight="1" x14ac:dyDescent="0.3">
      <c r="B51" s="126" t="s">
        <v>11</v>
      </c>
      <c r="C51" s="127"/>
      <c r="D51" s="128"/>
      <c r="E51" s="129" t="s">
        <v>56</v>
      </c>
      <c r="F51" s="133">
        <f>$D$29*$D$31*$J$11</f>
        <v>693</v>
      </c>
      <c r="G51" s="133">
        <f>$D$29*$D$31*$J$11</f>
        <v>693</v>
      </c>
      <c r="H51" s="137">
        <f>$D$29*$D$31*$J$11</f>
        <v>693</v>
      </c>
      <c r="I51" s="139"/>
      <c r="K51" s="236" t="s">
        <v>87</v>
      </c>
      <c r="L51" s="55"/>
      <c r="M51" s="55"/>
      <c r="N51" s="235">
        <f>SUM(N46:N50)</f>
        <v>147.65718725926291</v>
      </c>
      <c r="O51" s="235">
        <f>SUM(O46:O50)</f>
        <v>387.37834457059364</v>
      </c>
      <c r="P51" s="428">
        <f t="shared" si="7"/>
        <v>1</v>
      </c>
      <c r="Q51" s="243">
        <f t="shared" si="8"/>
        <v>1</v>
      </c>
      <c r="R51" s="383"/>
    </row>
    <row r="52" spans="2:26" ht="20.100000000000001" customHeight="1" x14ac:dyDescent="0.3">
      <c r="B52" s="126" t="s">
        <v>281</v>
      </c>
      <c r="C52" s="127"/>
      <c r="D52" s="128"/>
      <c r="E52" s="129" t="s">
        <v>56</v>
      </c>
      <c r="F52" s="133">
        <f>$D$32*$D$33*$J$11</f>
        <v>28.05</v>
      </c>
      <c r="G52" s="133">
        <f>$D$32*$D$33*$J$11</f>
        <v>28.05</v>
      </c>
      <c r="H52" s="137">
        <f>$D$32*$D$33*$J$11</f>
        <v>28.05</v>
      </c>
      <c r="I52" s="139"/>
      <c r="K52" s="236"/>
      <c r="L52" s="55"/>
      <c r="M52" s="55"/>
      <c r="N52" s="235"/>
      <c r="O52" s="235"/>
      <c r="P52" s="428"/>
      <c r="Q52" s="243"/>
      <c r="R52" s="383"/>
    </row>
    <row r="53" spans="2:26" ht="19.5" customHeight="1" x14ac:dyDescent="0.25">
      <c r="B53" s="126" t="s">
        <v>21</v>
      </c>
      <c r="C53" s="127"/>
      <c r="D53" s="128"/>
      <c r="E53" s="129" t="s">
        <v>56</v>
      </c>
      <c r="F53" s="133">
        <f>$D$27/$D$28*$J$11</f>
        <v>181.48148148148147</v>
      </c>
      <c r="G53" s="133">
        <f>$D$27/$D$28*$J$11</f>
        <v>181.48148148148147</v>
      </c>
      <c r="H53" s="137">
        <f>$D$27/$D$28*$J$11</f>
        <v>181.48148148148147</v>
      </c>
      <c r="I53" s="139"/>
      <c r="J53" s="11"/>
      <c r="K53" s="11"/>
      <c r="L53"/>
      <c r="M53"/>
      <c r="N53"/>
      <c r="O53"/>
      <c r="P53"/>
      <c r="Q53"/>
      <c r="R53"/>
      <c r="S53"/>
      <c r="T53"/>
    </row>
    <row r="54" spans="2:26" ht="19.5" customHeight="1" x14ac:dyDescent="0.25">
      <c r="B54" s="126" t="s">
        <v>253</v>
      </c>
      <c r="C54" s="127"/>
      <c r="D54" s="128"/>
      <c r="E54" s="129" t="s">
        <v>56</v>
      </c>
      <c r="F54" s="147">
        <f>$H$24</f>
        <v>422.92689516448797</v>
      </c>
      <c r="G54" s="147">
        <f>$H$24</f>
        <v>422.92689516448797</v>
      </c>
      <c r="H54" s="148">
        <f>$H$24</f>
        <v>422.92689516448797</v>
      </c>
      <c r="I54" s="149"/>
      <c r="J54" s="11"/>
      <c r="K54" s="11"/>
      <c r="L54"/>
      <c r="M54"/>
      <c r="N54"/>
      <c r="O54"/>
      <c r="P54"/>
      <c r="Q54"/>
      <c r="R54"/>
      <c r="S54"/>
      <c r="T54"/>
    </row>
    <row r="55" spans="2:26" s="58" customFormat="1" ht="20.100000000000001" customHeight="1" x14ac:dyDescent="0.35">
      <c r="B55" s="588" t="s">
        <v>22</v>
      </c>
      <c r="C55" s="589"/>
      <c r="D55" s="590" t="s">
        <v>118</v>
      </c>
      <c r="E55" s="591" t="s">
        <v>56</v>
      </c>
      <c r="F55" s="592">
        <f>F51+F50+F53+F52+F54</f>
        <v>1746.2423766459692</v>
      </c>
      <c r="G55" s="592">
        <f>G51+G50+G53+G52+G54</f>
        <v>1825.1393766459696</v>
      </c>
      <c r="H55" s="593">
        <f>H51+H50+H53+H52+H54</f>
        <v>1904.0363766459695</v>
      </c>
      <c r="I55" s="594"/>
      <c r="J55" s="60"/>
      <c r="K55" s="60"/>
      <c r="L55" s="59"/>
      <c r="M55" s="59"/>
      <c r="N55" s="59"/>
      <c r="O55" s="59"/>
      <c r="P55" s="59"/>
      <c r="Q55" s="59"/>
      <c r="R55" s="59"/>
      <c r="S55" s="59"/>
      <c r="T55" s="59"/>
    </row>
    <row r="56" spans="2:26" s="58" customFormat="1" ht="20.100000000000001" customHeight="1" x14ac:dyDescent="0.35">
      <c r="B56" s="150"/>
      <c r="C56" s="151"/>
      <c r="D56" s="432" t="s">
        <v>119</v>
      </c>
      <c r="E56" s="152" t="s">
        <v>56</v>
      </c>
      <c r="F56" s="153">
        <f>F55/F41</f>
        <v>109.14014854037308</v>
      </c>
      <c r="G56" s="153">
        <f>G55/G41</f>
        <v>96.059967191893136</v>
      </c>
      <c r="H56" s="689">
        <f>H55/H41</f>
        <v>86.547108029362249</v>
      </c>
      <c r="I56" s="690"/>
      <c r="J56" s="60"/>
      <c r="K56" s="60"/>
      <c r="L56" s="59"/>
      <c r="M56" s="59"/>
      <c r="N56" s="59"/>
      <c r="O56" s="59"/>
      <c r="P56" s="59"/>
      <c r="Q56" s="59"/>
      <c r="R56" s="59"/>
      <c r="S56" s="59"/>
      <c r="T56" s="59"/>
    </row>
    <row r="57" spans="2:26" s="50" customFormat="1" ht="24.75" customHeight="1" x14ac:dyDescent="0.3">
      <c r="B57" s="71" t="s">
        <v>60</v>
      </c>
      <c r="C57" s="72"/>
      <c r="D57" s="73"/>
      <c r="E57" s="74" t="s">
        <v>56</v>
      </c>
      <c r="F57" s="322">
        <f>F47-F55</f>
        <v>905.49130853921588</v>
      </c>
      <c r="G57" s="322">
        <f>G47-G55</f>
        <v>1270.5943085392155</v>
      </c>
      <c r="H57" s="323">
        <f>H47-H55</f>
        <v>1635.6973085392156</v>
      </c>
      <c r="I57" s="75"/>
      <c r="J57" s="70"/>
      <c r="K57" s="70"/>
      <c r="L57" s="47"/>
      <c r="M57" s="47"/>
      <c r="N57" s="47"/>
      <c r="O57" s="47"/>
      <c r="P57" s="47"/>
      <c r="Q57" s="47"/>
      <c r="R57" s="47"/>
      <c r="S57" s="47"/>
      <c r="T57" s="47"/>
    </row>
    <row r="58" spans="2:26" s="58" customFormat="1" ht="22.65" customHeight="1" x14ac:dyDescent="0.35">
      <c r="B58" s="693" t="s">
        <v>68</v>
      </c>
      <c r="C58" s="694"/>
      <c r="D58" s="695"/>
      <c r="E58" s="249" t="s">
        <v>2</v>
      </c>
      <c r="F58" s="250">
        <f>F57/(F61+F62+F65)</f>
        <v>1.0146678645009521</v>
      </c>
      <c r="G58" s="250">
        <f>G57/(G61+G62+G65)</f>
        <v>1.4096949163256431</v>
      </c>
      <c r="H58" s="700">
        <f>H57/(H61+H62+H65)</f>
        <v>1.7969763073658966</v>
      </c>
      <c r="I58" s="701"/>
      <c r="J58" s="60"/>
      <c r="K58" s="60"/>
      <c r="L58" s="59"/>
      <c r="M58" s="59"/>
      <c r="N58" s="59"/>
      <c r="O58" s="59"/>
      <c r="P58" s="59"/>
      <c r="Q58" s="59"/>
      <c r="R58" s="59"/>
      <c r="S58" s="59"/>
      <c r="T58" s="59"/>
    </row>
    <row r="59" spans="2:26" s="58" customFormat="1" ht="22.65" customHeight="1" x14ac:dyDescent="0.35">
      <c r="B59" s="126" t="s">
        <v>194</v>
      </c>
      <c r="C59" s="343"/>
      <c r="D59" s="363"/>
      <c r="E59" s="129" t="s">
        <v>195</v>
      </c>
      <c r="F59" s="462">
        <f>F41/$D$38</f>
        <v>2.1041095890410957</v>
      </c>
      <c r="G59" s="462">
        <f>G41/$D$38</f>
        <v>2.4986301369863013</v>
      </c>
      <c r="H59" s="463">
        <f>H41/$D$38</f>
        <v>2.893150684931507</v>
      </c>
      <c r="I59" s="248"/>
      <c r="J59" s="60"/>
      <c r="K59" s="60"/>
      <c r="L59" s="59"/>
      <c r="M59" s="59"/>
      <c r="N59" s="59"/>
      <c r="O59" s="59"/>
      <c r="P59" s="59"/>
      <c r="Q59" s="59"/>
      <c r="R59" s="59"/>
      <c r="S59" s="59"/>
      <c r="T59" s="59"/>
    </row>
    <row r="60" spans="2:26" s="58" customFormat="1" ht="22.65" customHeight="1" x14ac:dyDescent="0.35">
      <c r="B60" s="126" t="s">
        <v>314</v>
      </c>
      <c r="C60" s="343"/>
      <c r="D60" s="363"/>
      <c r="E60" s="129" t="s">
        <v>56</v>
      </c>
      <c r="F60" s="136">
        <f>$D$35+$D$37*F59</f>
        <v>5456.4821917808222</v>
      </c>
      <c r="G60" s="136">
        <f t="shared" ref="G60:H60" si="10">$D$35+$D$37*G59</f>
        <v>5579.5726027397259</v>
      </c>
      <c r="H60" s="134">
        <f t="shared" si="10"/>
        <v>5702.6630136986305</v>
      </c>
      <c r="I60" s="248"/>
      <c r="J60" s="60"/>
      <c r="K60" s="60"/>
      <c r="L60" s="59"/>
      <c r="M60" s="59"/>
      <c r="N60" s="59"/>
      <c r="O60" s="59"/>
      <c r="P60" s="59"/>
      <c r="Q60" s="59"/>
      <c r="R60" s="59"/>
      <c r="S60" s="59"/>
      <c r="T60" s="59"/>
    </row>
    <row r="61" spans="2:26" ht="21.75" customHeight="1" x14ac:dyDescent="0.3">
      <c r="B61" s="126" t="s">
        <v>315</v>
      </c>
      <c r="C61" s="468"/>
      <c r="D61" s="363">
        <f>100/H37+H38+H9/2</f>
        <v>7.25</v>
      </c>
      <c r="E61" s="129" t="s">
        <v>56</v>
      </c>
      <c r="F61" s="136">
        <f>($D$35+$D$37*F59)*$D$61/100</f>
        <v>395.5949589041096</v>
      </c>
      <c r="G61" s="136">
        <f>($D$35+$D$37*G59)*$D$61/100</f>
        <v>404.51901369863015</v>
      </c>
      <c r="H61" s="134">
        <f>($D$35+$D$37*H59)*$D$61/100</f>
        <v>413.44306849315069</v>
      </c>
      <c r="I61" s="248"/>
      <c r="J61" s="70"/>
      <c r="K61" s="11"/>
      <c r="L61"/>
      <c r="M61"/>
      <c r="N61"/>
      <c r="O61"/>
      <c r="P61"/>
      <c r="Q61"/>
      <c r="R61"/>
      <c r="S61"/>
      <c r="T61"/>
    </row>
    <row r="62" spans="2:26" ht="19.5" customHeight="1" x14ac:dyDescent="0.25">
      <c r="B62" s="154" t="s">
        <v>23</v>
      </c>
      <c r="C62" s="155"/>
      <c r="D62" s="156"/>
      <c r="E62" s="157" t="s">
        <v>56</v>
      </c>
      <c r="F62" s="158">
        <f>G62</f>
        <v>16.806722689075631</v>
      </c>
      <c r="G62" s="158">
        <f>H35</f>
        <v>16.806722689075631</v>
      </c>
      <c r="H62" s="159">
        <f>G62</f>
        <v>16.806722689075631</v>
      </c>
      <c r="I62" s="160"/>
      <c r="J62" s="11"/>
      <c r="K62" s="11"/>
      <c r="L62"/>
      <c r="M62"/>
      <c r="N62"/>
      <c r="O62"/>
      <c r="P62"/>
      <c r="Q62"/>
      <c r="R62"/>
      <c r="S62"/>
      <c r="T62"/>
    </row>
    <row r="63" spans="2:26" s="50" customFormat="1" ht="21.75" customHeight="1" x14ac:dyDescent="0.3">
      <c r="B63" s="76" t="s">
        <v>95</v>
      </c>
      <c r="C63" s="77"/>
      <c r="D63" s="244" t="s">
        <v>293</v>
      </c>
      <c r="E63" s="80" t="s">
        <v>56</v>
      </c>
      <c r="F63" s="324">
        <f>F57-F61-F62</f>
        <v>493.08962694603065</v>
      </c>
      <c r="G63" s="324">
        <f>G57-G61-G62</f>
        <v>849.26857215150972</v>
      </c>
      <c r="H63" s="325">
        <f>H57-H61-H62</f>
        <v>1205.447517356989</v>
      </c>
      <c r="I63" s="78"/>
      <c r="J63" s="70"/>
      <c r="K63" s="70"/>
      <c r="L63" s="47"/>
      <c r="M63" s="47"/>
      <c r="N63" s="47"/>
      <c r="O63" s="47"/>
      <c r="P63" s="47"/>
      <c r="Q63" s="47"/>
      <c r="R63" s="47"/>
      <c r="S63" s="47"/>
      <c r="T63" s="47"/>
    </row>
    <row r="64" spans="2:26" ht="21.75" customHeight="1" x14ac:dyDescent="0.3">
      <c r="B64" s="68"/>
      <c r="C64" s="69"/>
      <c r="D64" s="440" t="s">
        <v>65</v>
      </c>
      <c r="E64" s="572" t="s">
        <v>56</v>
      </c>
      <c r="F64" s="576">
        <f>F63/$H$36</f>
        <v>16.436320898201021</v>
      </c>
      <c r="G64" s="576">
        <f>G63/$H$36</f>
        <v>28.308952405050324</v>
      </c>
      <c r="H64" s="577">
        <f>H63/$H$36</f>
        <v>40.181583911899637</v>
      </c>
      <c r="I64" s="575"/>
      <c r="J64" s="11"/>
      <c r="K64" s="11"/>
      <c r="L64"/>
      <c r="M64"/>
      <c r="N64"/>
      <c r="O64"/>
      <c r="P64"/>
      <c r="Q64"/>
      <c r="R64"/>
      <c r="S64"/>
      <c r="T64"/>
    </row>
    <row r="65" spans="2:20" s="62" customFormat="1" ht="21.75" customHeight="1" x14ac:dyDescent="0.25">
      <c r="B65" s="161" t="s">
        <v>24</v>
      </c>
      <c r="C65" s="344">
        <f>H36</f>
        <v>30</v>
      </c>
      <c r="D65" s="364">
        <f>H11</f>
        <v>16</v>
      </c>
      <c r="E65" s="162" t="s">
        <v>56</v>
      </c>
      <c r="F65" s="163">
        <f>$H$36*$H$11</f>
        <v>480</v>
      </c>
      <c r="G65" s="163">
        <f>$H$36*$H$11</f>
        <v>480</v>
      </c>
      <c r="H65" s="164">
        <f>$H$36*$H$11</f>
        <v>480</v>
      </c>
      <c r="I65" s="165"/>
      <c r="J65" s="15"/>
      <c r="K65" s="15"/>
      <c r="L65" s="51"/>
      <c r="M65" s="51"/>
      <c r="N65" s="51"/>
      <c r="O65" s="51"/>
      <c r="P65" s="51"/>
      <c r="Q65" s="51"/>
      <c r="R65" s="51"/>
      <c r="S65" s="51"/>
      <c r="T65" s="51"/>
    </row>
    <row r="66" spans="2:20" s="50" customFormat="1" ht="26.4" customHeight="1" x14ac:dyDescent="0.3">
      <c r="B66" s="76" t="s">
        <v>67</v>
      </c>
      <c r="C66" s="77"/>
      <c r="D66" s="79"/>
      <c r="E66" s="80" t="s">
        <v>56</v>
      </c>
      <c r="F66" s="324">
        <f>F63-F65</f>
        <v>13.089626946030648</v>
      </c>
      <c r="G66" s="324">
        <f>G63-G65</f>
        <v>369.26857215150972</v>
      </c>
      <c r="H66" s="326">
        <f>H63-H65</f>
        <v>725.44751735698901</v>
      </c>
      <c r="I66" s="81"/>
      <c r="J66" s="70"/>
      <c r="K66" s="70"/>
      <c r="L66" s="47"/>
      <c r="M66" s="47"/>
      <c r="N66" s="47"/>
      <c r="O66" s="47"/>
      <c r="P66" s="47"/>
      <c r="Q66" s="47"/>
      <c r="R66" s="47"/>
      <c r="S66" s="47"/>
      <c r="T66" s="47"/>
    </row>
    <row r="67" spans="2:20" s="50" customFormat="1" ht="26.4" customHeight="1" x14ac:dyDescent="0.3">
      <c r="B67" s="569" t="s">
        <v>58</v>
      </c>
      <c r="C67" s="570"/>
      <c r="D67" s="571"/>
      <c r="E67" s="572" t="s">
        <v>2</v>
      </c>
      <c r="F67" s="573">
        <f>((F57-F62-F65-($D$35+$D$37*F59)/$H$37-($D$35+$D$37*F59)*$H$38%))/($D$35+$D$37*F59)*2</f>
        <v>2.9797826323248251E-2</v>
      </c>
      <c r="G67" s="573">
        <f>((G57-G62-G65-($D$35+$D$37*G59)/$H$37-($D$35+$D$37*G59)*$H$38%))/($D$35+$D$37*G59)*2</f>
        <v>0.15736446532488471</v>
      </c>
      <c r="H67" s="574">
        <f>((H57-H62-H65-($D$35+$D$37*H59)/$H$37-($D$35+$D$37*H59)*$H$38%))/($D$35+$D$37*H59)*2</f>
        <v>0.27942412277013673</v>
      </c>
      <c r="I67" s="575"/>
      <c r="J67" s="70"/>
      <c r="K67" s="70"/>
      <c r="L67" s="47"/>
      <c r="M67" s="47"/>
      <c r="N67" s="47"/>
      <c r="O67" s="47"/>
      <c r="P67" s="47"/>
      <c r="Q67" s="47"/>
      <c r="R67" s="47"/>
      <c r="S67" s="47"/>
      <c r="T67" s="47"/>
    </row>
    <row r="68" spans="2:20" ht="31.95" customHeight="1" x14ac:dyDescent="0.3">
      <c r="B68" s="704" t="s">
        <v>109</v>
      </c>
      <c r="C68" s="705"/>
      <c r="D68" s="122" t="str">
        <f>IF(I6&lt;&gt;0,"brutto","netto")</f>
        <v>netto</v>
      </c>
      <c r="E68" s="216" t="s">
        <v>56</v>
      </c>
      <c r="F68" s="578">
        <f>(F55+F61+F62+F65-F45-F46)/F41</f>
        <v>147.1818983158731</v>
      </c>
      <c r="G68" s="578">
        <f>(G55+G61+G62+G65-G45-G46)/G41</f>
        <v>128.56481199202582</v>
      </c>
      <c r="H68" s="579">
        <f>(H55+H61+H62+H65-H45-H46)/H41</f>
        <v>115.02511284740959</v>
      </c>
      <c r="I68" s="580"/>
      <c r="J68" s="11"/>
      <c r="K68" s="11"/>
      <c r="L68"/>
      <c r="M68"/>
      <c r="N68"/>
      <c r="O68"/>
      <c r="P68"/>
      <c r="Q68"/>
      <c r="R68"/>
      <c r="S68"/>
      <c r="T68"/>
    </row>
    <row r="69" spans="2:20" ht="23.25" customHeight="1" x14ac:dyDescent="0.3">
      <c r="B69" s="706"/>
      <c r="C69" s="707"/>
      <c r="D69" s="263" t="s">
        <v>98</v>
      </c>
      <c r="E69" s="264" t="s">
        <v>56</v>
      </c>
      <c r="F69" s="581">
        <f>F68/$J$9</f>
        <v>147.1818983158731</v>
      </c>
      <c r="G69" s="581">
        <f>G68/$J$9</f>
        <v>128.56481199202582</v>
      </c>
      <c r="H69" s="708">
        <f>H68/$J$9</f>
        <v>115.02511284740959</v>
      </c>
      <c r="I69" s="709"/>
      <c r="J69" s="11"/>
      <c r="K69" s="11"/>
      <c r="L69"/>
      <c r="M69"/>
      <c r="N69"/>
      <c r="O69"/>
      <c r="P69"/>
      <c r="Q69"/>
      <c r="R69"/>
      <c r="S69"/>
      <c r="T69"/>
    </row>
    <row r="70" spans="2:20" ht="26.4" customHeight="1" x14ac:dyDescent="0.3">
      <c r="B70" s="532" t="s">
        <v>294</v>
      </c>
      <c r="C70" s="533"/>
      <c r="D70" s="534"/>
      <c r="E70" s="535"/>
      <c r="F70" s="582"/>
      <c r="G70" s="582"/>
      <c r="H70" s="583"/>
      <c r="I70" s="584"/>
      <c r="J70" s="11"/>
      <c r="K70" s="11"/>
      <c r="L70"/>
      <c r="M70"/>
      <c r="N70"/>
      <c r="O70"/>
      <c r="P70"/>
      <c r="Q70"/>
      <c r="R70"/>
      <c r="S70"/>
      <c r="T70"/>
    </row>
    <row r="71" spans="2:20" ht="19.5" customHeight="1" x14ac:dyDescent="0.3">
      <c r="B71" s="536" t="s">
        <v>260</v>
      </c>
      <c r="C71" s="537"/>
      <c r="D71" s="537"/>
      <c r="E71" s="535" t="s">
        <v>56</v>
      </c>
      <c r="F71" s="582">
        <f>(-F66/F41)/$J$9+$D$19</f>
        <v>139.18189831587307</v>
      </c>
      <c r="G71" s="582">
        <f>(-G66/G41)/$J$9+$D$19</f>
        <v>120.56481199202581</v>
      </c>
      <c r="H71" s="583">
        <f>(-H66/H41)/$J$9+$D$19</f>
        <v>107.02511284740959</v>
      </c>
      <c r="I71" s="584"/>
      <c r="K71" s="15" t="s">
        <v>107</v>
      </c>
      <c r="L71"/>
      <c r="M71"/>
      <c r="N71"/>
      <c r="O71"/>
      <c r="P71"/>
      <c r="Q71"/>
      <c r="R71"/>
      <c r="S71"/>
      <c r="T71"/>
    </row>
    <row r="72" spans="2:20" ht="21.3" customHeight="1" thickBot="1" x14ac:dyDescent="0.35">
      <c r="B72" s="538" t="s">
        <v>261</v>
      </c>
      <c r="C72" s="539"/>
      <c r="D72" s="539"/>
      <c r="E72" s="540" t="s">
        <v>56</v>
      </c>
      <c r="F72" s="585">
        <f>$D$19+(-F57/F41)/$J$9</f>
        <v>83.406793216299008</v>
      </c>
      <c r="G72" s="585">
        <f>$D$19+(-G57/G41)/$J$9</f>
        <v>73.126615340041283</v>
      </c>
      <c r="H72" s="586">
        <f>$D$19+(-H57/H41/$J$9)</f>
        <v>65.650122339126568</v>
      </c>
      <c r="I72" s="587"/>
      <c r="K72" s="15" t="s">
        <v>108</v>
      </c>
      <c r="L72"/>
      <c r="M72"/>
      <c r="N72"/>
      <c r="O72"/>
      <c r="P72"/>
      <c r="Q72"/>
      <c r="R72"/>
      <c r="S72"/>
      <c r="T72"/>
    </row>
    <row r="73" spans="2:20" ht="26.4" customHeight="1" thickBot="1" x14ac:dyDescent="0.45">
      <c r="B73" s="36"/>
      <c r="C73" s="36"/>
      <c r="D73" s="36"/>
      <c r="E73" s="37"/>
      <c r="F73" s="38"/>
      <c r="G73" s="38"/>
      <c r="H73" s="39"/>
      <c r="I73" s="40"/>
      <c r="J73" s="11"/>
      <c r="K73" s="11"/>
      <c r="L73"/>
      <c r="M73"/>
      <c r="N73"/>
      <c r="O73"/>
      <c r="P73"/>
      <c r="Q73"/>
      <c r="R73"/>
      <c r="S73"/>
      <c r="T73"/>
    </row>
    <row r="74" spans="2:20" ht="36" customHeight="1" thickBot="1" x14ac:dyDescent="0.3">
      <c r="B74" s="715" t="s">
        <v>295</v>
      </c>
      <c r="C74" s="716"/>
      <c r="D74" s="716"/>
      <c r="E74" s="716"/>
      <c r="F74" s="716"/>
      <c r="G74" s="664" t="str">
        <f>G2</f>
        <v xml:space="preserve">Vers. 01/2018
</v>
      </c>
      <c r="H74" s="657"/>
      <c r="I74" s="662" t="str">
        <f>I2</f>
        <v>Erstellt 07/2018</v>
      </c>
      <c r="J74" s="11"/>
      <c r="K74" s="11"/>
      <c r="L74"/>
      <c r="M74"/>
      <c r="N74"/>
      <c r="O74"/>
      <c r="P74"/>
      <c r="Q74"/>
      <c r="R74"/>
      <c r="S74"/>
      <c r="T74"/>
    </row>
    <row r="75" spans="2:20" ht="10.5" customHeight="1" x14ac:dyDescent="0.25">
      <c r="B75" s="35"/>
      <c r="C75" s="35"/>
      <c r="D75" s="35"/>
      <c r="E75" s="35"/>
      <c r="F75" s="35"/>
      <c r="G75" s="35"/>
      <c r="H75" s="35"/>
      <c r="I75" s="35"/>
      <c r="J75" s="11"/>
      <c r="K75" s="11"/>
      <c r="L75"/>
      <c r="M75"/>
      <c r="N75"/>
      <c r="O75"/>
      <c r="P75"/>
      <c r="Q75"/>
      <c r="R75"/>
      <c r="S75"/>
      <c r="T75"/>
    </row>
    <row r="76" spans="2:20" ht="18.75" customHeight="1" x14ac:dyDescent="0.25">
      <c r="B76" s="41"/>
      <c r="C76" s="41"/>
      <c r="D76" s="87" t="s">
        <v>0</v>
      </c>
      <c r="E76" s="42"/>
      <c r="F76" s="88" t="str">
        <f>F4</f>
        <v>nachhaltige Preise</v>
      </c>
      <c r="G76" s="89" t="s">
        <v>74</v>
      </c>
      <c r="H76" s="702">
        <f>H4</f>
        <v>43312</v>
      </c>
      <c r="I76" s="703"/>
      <c r="K76" s="11"/>
      <c r="L76"/>
      <c r="M76"/>
      <c r="N76"/>
      <c r="O76"/>
      <c r="P76"/>
      <c r="Q76"/>
      <c r="R76"/>
      <c r="S76"/>
      <c r="T76"/>
    </row>
    <row r="77" spans="2:20" ht="3.45" customHeight="1" x14ac:dyDescent="0.3">
      <c r="B77" s="41"/>
      <c r="C77" s="41"/>
      <c r="D77" s="87"/>
      <c r="E77" s="42"/>
      <c r="F77" s="303"/>
      <c r="G77" s="89"/>
      <c r="H77" s="303"/>
      <c r="I77" s="303"/>
      <c r="J77" s="16"/>
      <c r="K77" s="11"/>
      <c r="L77"/>
      <c r="M77"/>
      <c r="N77"/>
      <c r="O77"/>
      <c r="P77"/>
      <c r="Q77"/>
      <c r="R77"/>
      <c r="S77"/>
      <c r="T77"/>
    </row>
    <row r="78" spans="2:20" ht="18.75" customHeight="1" x14ac:dyDescent="0.3">
      <c r="B78" s="20" t="s">
        <v>116</v>
      </c>
      <c r="C78" s="359"/>
      <c r="D78" s="360" t="s">
        <v>117</v>
      </c>
      <c r="E78" s="294" t="str">
        <f>IF(E6="","",E6)</f>
        <v>x</v>
      </c>
      <c r="F78" s="284" t="s">
        <v>125</v>
      </c>
      <c r="G78" s="89"/>
      <c r="H78" s="333" t="str">
        <f>H6</f>
        <v xml:space="preserve">Pauschalierung </v>
      </c>
      <c r="I78" s="331" t="str">
        <f>IF(I6="","",I6)</f>
        <v/>
      </c>
      <c r="J78" s="23" t="s">
        <v>131</v>
      </c>
      <c r="K78" s="11"/>
      <c r="L78"/>
      <c r="M78"/>
      <c r="N78"/>
      <c r="O78"/>
      <c r="P78"/>
      <c r="Q78"/>
      <c r="R78"/>
      <c r="S78"/>
      <c r="T78"/>
    </row>
    <row r="79" spans="2:20" ht="17.399999999999999" customHeight="1" x14ac:dyDescent="0.25">
      <c r="B79" s="41"/>
      <c r="C79" s="41"/>
      <c r="D79" s="292" t="s">
        <v>115</v>
      </c>
      <c r="E79" s="294" t="str">
        <f>E7</f>
        <v/>
      </c>
      <c r="F79" s="35"/>
      <c r="G79" s="35"/>
      <c r="H79" s="333" t="str">
        <f>H7</f>
        <v xml:space="preserve">Regelbesteuerung </v>
      </c>
      <c r="I79" s="332" t="str">
        <f>I7</f>
        <v>x</v>
      </c>
      <c r="J79" s="23" t="s">
        <v>132</v>
      </c>
      <c r="K79" s="11"/>
      <c r="L79"/>
      <c r="M79"/>
      <c r="N79"/>
      <c r="O79"/>
      <c r="P79"/>
      <c r="Q79"/>
      <c r="R79"/>
      <c r="S79"/>
      <c r="T79"/>
    </row>
    <row r="80" spans="2:20" ht="13.65" customHeight="1" thickBot="1" x14ac:dyDescent="0.3">
      <c r="B80" s="35"/>
      <c r="C80" s="35"/>
      <c r="D80" s="35"/>
      <c r="E80" s="35"/>
      <c r="F80" s="35"/>
      <c r="G80" s="35"/>
      <c r="H80" s="35"/>
      <c r="I80" s="35"/>
      <c r="J80" s="365" t="s">
        <v>1</v>
      </c>
      <c r="K80" s="11"/>
      <c r="L80"/>
      <c r="M80"/>
      <c r="N80"/>
      <c r="O80"/>
      <c r="P80"/>
      <c r="Q80"/>
      <c r="R80"/>
      <c r="S80"/>
      <c r="T80"/>
    </row>
    <row r="81" spans="2:24" ht="20.25" customHeight="1" x14ac:dyDescent="0.25">
      <c r="B81" s="305" t="s">
        <v>257</v>
      </c>
      <c r="C81" s="306"/>
      <c r="D81" s="336">
        <f>D9</f>
        <v>0.107</v>
      </c>
      <c r="E81" s="307"/>
      <c r="F81" s="304" t="str">
        <f>F9</f>
        <v>Zinssatz für gebundenes Gebäudekapital ( i )</v>
      </c>
      <c r="G81" s="308"/>
      <c r="H81" s="309">
        <f>H9</f>
        <v>2.5</v>
      </c>
      <c r="I81" s="310" t="s">
        <v>2</v>
      </c>
      <c r="J81" s="311">
        <f>J9</f>
        <v>1</v>
      </c>
      <c r="K81" s="11"/>
      <c r="L81"/>
      <c r="M81"/>
      <c r="N81"/>
      <c r="O81"/>
      <c r="P81"/>
      <c r="Q81"/>
      <c r="R81"/>
      <c r="S81"/>
      <c r="T81"/>
    </row>
    <row r="82" spans="2:24" ht="20.25" customHeight="1" thickBot="1" x14ac:dyDescent="0.3">
      <c r="B82" s="312" t="s">
        <v>25</v>
      </c>
      <c r="C82" s="313"/>
      <c r="D82" s="337">
        <f>D11</f>
        <v>7.0000000000000007E-2</v>
      </c>
      <c r="E82" s="314"/>
      <c r="F82" s="315" t="s">
        <v>4</v>
      </c>
      <c r="G82" s="316"/>
      <c r="H82" s="317">
        <f>H11</f>
        <v>16</v>
      </c>
      <c r="I82" s="318" t="s">
        <v>56</v>
      </c>
      <c r="J82" s="319">
        <f>J11</f>
        <v>1</v>
      </c>
      <c r="K82" s="11"/>
      <c r="L82"/>
      <c r="M82"/>
      <c r="N82"/>
      <c r="O82"/>
      <c r="P82"/>
      <c r="Q82"/>
      <c r="R82"/>
      <c r="S82"/>
      <c r="T82"/>
    </row>
    <row r="83" spans="2:24" ht="23.1" customHeight="1" thickBot="1" x14ac:dyDescent="0.35">
      <c r="B83" s="90" t="s">
        <v>296</v>
      </c>
      <c r="C83" s="66"/>
      <c r="D83" s="35"/>
      <c r="E83" s="35"/>
      <c r="F83" s="35"/>
      <c r="G83" s="35"/>
      <c r="H83" s="35"/>
      <c r="I83" s="35"/>
      <c r="J83"/>
      <c r="K83" s="16"/>
      <c r="L83" s="8"/>
      <c r="M83" s="9"/>
      <c r="N83" s="10"/>
      <c r="O83"/>
      <c r="P83"/>
      <c r="Q83"/>
      <c r="R83"/>
      <c r="S83"/>
      <c r="T83"/>
    </row>
    <row r="84" spans="2:24" ht="30.75" customHeight="1" x14ac:dyDescent="0.4">
      <c r="B84" s="712" t="s">
        <v>26</v>
      </c>
      <c r="C84" s="713"/>
      <c r="D84" s="713"/>
      <c r="E84" s="713"/>
      <c r="F84" s="713"/>
      <c r="G84" s="713"/>
      <c r="H84" s="713"/>
      <c r="I84" s="714"/>
      <c r="J84" s="11"/>
      <c r="K84" s="653" t="s">
        <v>308</v>
      </c>
      <c r="L84" s="654"/>
      <c r="M84" s="654"/>
      <c r="N84" s="654"/>
      <c r="O84" s="654"/>
      <c r="P84" s="654"/>
      <c r="Q84"/>
      <c r="R84" s="382" t="s">
        <v>137</v>
      </c>
      <c r="S84"/>
      <c r="T84"/>
    </row>
    <row r="85" spans="2:24" ht="20.25" customHeight="1" x14ac:dyDescent="0.25">
      <c r="B85" s="167" t="s">
        <v>27</v>
      </c>
      <c r="C85" s="168"/>
      <c r="D85" s="489">
        <v>95</v>
      </c>
      <c r="E85" s="501" t="s">
        <v>5</v>
      </c>
      <c r="F85" s="724" t="s">
        <v>317</v>
      </c>
      <c r="G85" s="725"/>
      <c r="H85" s="499">
        <f>D21</f>
        <v>28</v>
      </c>
      <c r="I85" s="501" t="s">
        <v>5</v>
      </c>
      <c r="K85" s="11"/>
      <c r="L85"/>
      <c r="M85"/>
      <c r="N85"/>
      <c r="O85"/>
      <c r="P85"/>
      <c r="Q85"/>
      <c r="R85" s="380"/>
      <c r="S85"/>
      <c r="T85"/>
    </row>
    <row r="86" spans="2:24" ht="20.25" customHeight="1" x14ac:dyDescent="0.25">
      <c r="B86" s="167" t="s">
        <v>28</v>
      </c>
      <c r="C86" s="168"/>
      <c r="D86" s="490">
        <v>79</v>
      </c>
      <c r="E86" s="501" t="s">
        <v>2</v>
      </c>
      <c r="F86" s="168" t="str">
        <f>B19</f>
        <v>Ferkelbasispreis 28 kg (o. Mwst)</v>
      </c>
      <c r="G86" s="176"/>
      <c r="H86" s="647">
        <f>D19</f>
        <v>140</v>
      </c>
      <c r="I86" s="501" t="s">
        <v>54</v>
      </c>
      <c r="J86" s="11"/>
      <c r="Q86"/>
      <c r="R86" s="380"/>
      <c r="S86"/>
      <c r="T86"/>
    </row>
    <row r="87" spans="2:24" ht="20.25" customHeight="1" x14ac:dyDescent="0.25">
      <c r="B87" s="169" t="s">
        <v>258</v>
      </c>
      <c r="C87" s="170"/>
      <c r="D87" s="651">
        <v>3.75</v>
      </c>
      <c r="E87" s="627" t="s">
        <v>56</v>
      </c>
      <c r="F87" s="176" t="s">
        <v>134</v>
      </c>
      <c r="G87" s="174"/>
      <c r="H87" s="500">
        <f>D23+D24</f>
        <v>8</v>
      </c>
      <c r="I87" s="501" t="s">
        <v>54</v>
      </c>
      <c r="M87"/>
      <c r="N87"/>
      <c r="O87" s="229" t="s">
        <v>56</v>
      </c>
      <c r="P87" s="1" t="s">
        <v>231</v>
      </c>
      <c r="Q87" s="229" t="s">
        <v>2</v>
      </c>
      <c r="R87" s="382" t="s">
        <v>204</v>
      </c>
      <c r="S87"/>
      <c r="T87"/>
    </row>
    <row r="88" spans="2:24" ht="20.25" customHeight="1" x14ac:dyDescent="0.25">
      <c r="B88" s="169" t="s">
        <v>174</v>
      </c>
      <c r="C88" s="170"/>
      <c r="D88" s="490"/>
      <c r="E88" s="501" t="s">
        <v>143</v>
      </c>
      <c r="F88" s="629" t="s">
        <v>262</v>
      </c>
      <c r="G88" s="174"/>
      <c r="H88" s="392">
        <v>3</v>
      </c>
      <c r="I88" s="501" t="s">
        <v>54</v>
      </c>
      <c r="K88" s="13" t="s">
        <v>81</v>
      </c>
      <c r="L88" s="5"/>
      <c r="M88" s="5"/>
      <c r="N88" s="5"/>
      <c r="O88" s="222">
        <f>G116</f>
        <v>151</v>
      </c>
      <c r="P88" s="1">
        <f t="shared" ref="P88:P90" si="11">O88/$D$85</f>
        <v>1.5894736842105264</v>
      </c>
      <c r="Q88" s="232">
        <f>O88/$O$101</f>
        <v>0.38979979680429094</v>
      </c>
      <c r="R88" s="382" t="s">
        <v>201</v>
      </c>
      <c r="S88"/>
      <c r="T88"/>
    </row>
    <row r="89" spans="2:24" ht="20.25" customHeight="1" x14ac:dyDescent="0.25">
      <c r="B89" s="167" t="s">
        <v>110</v>
      </c>
      <c r="C89" s="14"/>
      <c r="D89" s="474"/>
      <c r="E89" s="632" t="s">
        <v>57</v>
      </c>
      <c r="F89" s="172" t="s">
        <v>76</v>
      </c>
      <c r="G89" s="175"/>
      <c r="H89" s="494">
        <f>(D21-D20)*D22</f>
        <v>0</v>
      </c>
      <c r="I89" s="502" t="s">
        <v>54</v>
      </c>
      <c r="K89" s="13" t="s">
        <v>80</v>
      </c>
      <c r="L89" s="5"/>
      <c r="M89" s="5"/>
      <c r="N89" s="5"/>
      <c r="O89" s="222">
        <f>G117+G118</f>
        <v>162.814388185654</v>
      </c>
      <c r="P89" s="1">
        <f t="shared" si="11"/>
        <v>1.7138356651121474</v>
      </c>
      <c r="Q89" s="232">
        <f>O89/$O$101</f>
        <v>0.4202981154409462</v>
      </c>
      <c r="R89" s="382" t="s">
        <v>245</v>
      </c>
      <c r="S89" s="5"/>
      <c r="T89" s="4"/>
      <c r="U89" s="4"/>
      <c r="V89" s="4"/>
      <c r="W89" s="4"/>
      <c r="X89" s="4"/>
    </row>
    <row r="90" spans="2:24" ht="20.25" customHeight="1" x14ac:dyDescent="0.25">
      <c r="B90" s="171" t="s">
        <v>233</v>
      </c>
      <c r="C90" s="172"/>
      <c r="D90" s="523">
        <v>7</v>
      </c>
      <c r="E90" s="502" t="s">
        <v>143</v>
      </c>
      <c r="F90" s="168" t="s">
        <v>326</v>
      </c>
      <c r="G90" s="168"/>
      <c r="H90" s="667">
        <f>1/D96</f>
        <v>0.39793354579862839</v>
      </c>
      <c r="I90" s="501"/>
      <c r="J90" s="22"/>
      <c r="K90" s="220" t="str">
        <f t="shared" ref="K90:K96" si="12">F94</f>
        <v xml:space="preserve">    Tierarzt, Medikamente</v>
      </c>
      <c r="L90" s="62"/>
      <c r="M90" s="5"/>
      <c r="N90" s="5"/>
      <c r="O90" s="223">
        <f t="shared" ref="O90:O95" si="13">G94</f>
        <v>1.5</v>
      </c>
      <c r="P90" s="1">
        <f t="shared" si="11"/>
        <v>1.5789473684210527E-2</v>
      </c>
      <c r="Q90" s="232">
        <f>O90/$O$101</f>
        <v>3.872183411963155E-3</v>
      </c>
      <c r="R90" s="383" t="s">
        <v>237</v>
      </c>
      <c r="S90" s="6"/>
      <c r="T90" s="4"/>
      <c r="U90" s="4"/>
      <c r="V90" s="4"/>
      <c r="W90" s="4"/>
      <c r="X90" s="4"/>
    </row>
    <row r="91" spans="2:24" ht="20.25" customHeight="1" x14ac:dyDescent="0.25">
      <c r="B91" s="169" t="s">
        <v>252</v>
      </c>
      <c r="C91" s="170"/>
      <c r="D91" s="491">
        <v>50</v>
      </c>
      <c r="E91" s="501" t="s">
        <v>55</v>
      </c>
      <c r="F91" s="172" t="s">
        <v>325</v>
      </c>
      <c r="G91" s="335"/>
      <c r="H91" s="527">
        <f>$D$14*$I$14+$D$15*$I$15+$D$16*$I$16</f>
        <v>38.444500000000005</v>
      </c>
      <c r="I91" s="502" t="s">
        <v>56</v>
      </c>
      <c r="J91" s="22"/>
      <c r="K91" s="220" t="str">
        <f t="shared" si="12"/>
        <v xml:space="preserve">    Verluste, Versicherungen</v>
      </c>
      <c r="L91" s="5"/>
      <c r="M91" s="5"/>
      <c r="N91" s="5"/>
      <c r="O91" s="223">
        <f t="shared" si="13"/>
        <v>4</v>
      </c>
      <c r="Q91" s="232"/>
      <c r="R91" s="383"/>
      <c r="S91" s="6"/>
      <c r="T91" s="4"/>
      <c r="U91" s="4"/>
      <c r="V91" s="4"/>
      <c r="W91" s="4"/>
      <c r="X91" s="4"/>
    </row>
    <row r="92" spans="2:24" ht="20.25" customHeight="1" x14ac:dyDescent="0.25">
      <c r="B92" s="361" t="s">
        <v>287</v>
      </c>
      <c r="C92" s="84"/>
      <c r="D92" s="392">
        <v>0.7</v>
      </c>
      <c r="E92" s="290" t="s">
        <v>283</v>
      </c>
      <c r="F92" s="630" t="s">
        <v>215</v>
      </c>
      <c r="G92" s="530"/>
      <c r="H92" s="499">
        <f>SUM(H94:H100)</f>
        <v>24.086012245343696</v>
      </c>
      <c r="I92" s="501" t="s">
        <v>54</v>
      </c>
      <c r="J92" s="22"/>
      <c r="K92" s="220" t="str">
        <f t="shared" si="12"/>
        <v xml:space="preserve">    Energie, Wasser</v>
      </c>
      <c r="L92" s="5"/>
      <c r="M92" s="5"/>
      <c r="N92" s="5"/>
      <c r="O92" s="223">
        <f t="shared" si="13"/>
        <v>5</v>
      </c>
      <c r="Q92" s="232"/>
      <c r="R92" s="383" t="s">
        <v>292</v>
      </c>
      <c r="S92" s="6"/>
      <c r="T92" s="4"/>
      <c r="U92" s="4"/>
      <c r="V92" s="4"/>
      <c r="W92" s="4"/>
      <c r="X92" s="4"/>
    </row>
    <row r="93" spans="2:24" ht="20.25" customHeight="1" x14ac:dyDescent="0.25">
      <c r="B93" s="361" t="s">
        <v>282</v>
      </c>
      <c r="C93" s="84"/>
      <c r="D93" s="478">
        <f>(2*8.2+1*2.3)/3</f>
        <v>6.2333333333333334</v>
      </c>
      <c r="E93" s="290" t="s">
        <v>284</v>
      </c>
      <c r="F93" s="168" t="s">
        <v>7</v>
      </c>
      <c r="G93" s="395" t="s">
        <v>142</v>
      </c>
      <c r="H93" s="353"/>
      <c r="I93" s="504"/>
      <c r="J93" s="22"/>
      <c r="K93" s="220" t="str">
        <f t="shared" si="12"/>
        <v xml:space="preserve">    Einstreu</v>
      </c>
      <c r="L93" s="5"/>
      <c r="M93" s="5"/>
      <c r="N93" s="5"/>
      <c r="O93" s="223">
        <f t="shared" si="13"/>
        <v>8</v>
      </c>
      <c r="P93" s="1">
        <f t="shared" ref="P93:P103" si="14">O91/$D$85</f>
        <v>4.2105263157894736E-2</v>
      </c>
      <c r="Q93" s="232">
        <f t="shared" ref="Q93:Q103" si="15">O91/$O$101</f>
        <v>1.0325822431901747E-2</v>
      </c>
      <c r="R93" s="383" t="s">
        <v>205</v>
      </c>
      <c r="S93" s="6"/>
      <c r="T93" s="4"/>
      <c r="U93" s="4"/>
      <c r="V93" s="4"/>
      <c r="W93" s="4"/>
      <c r="X93" s="4"/>
    </row>
    <row r="94" spans="2:24" ht="20.25" customHeight="1" x14ac:dyDescent="0.25">
      <c r="B94" s="171" t="s">
        <v>29</v>
      </c>
      <c r="C94" s="172"/>
      <c r="D94" s="492">
        <v>725</v>
      </c>
      <c r="E94" s="626" t="s">
        <v>30</v>
      </c>
      <c r="F94" s="430" t="s">
        <v>178</v>
      </c>
      <c r="G94" s="474">
        <v>1.5</v>
      </c>
      <c r="H94" s="495">
        <f t="shared" ref="H94:H99" si="16">IF($I$79="",G94,G94/J95)</f>
        <v>1.2605042016806722</v>
      </c>
      <c r="I94" s="501" t="s">
        <v>54</v>
      </c>
      <c r="J94" s="22"/>
      <c r="K94" s="220" t="str">
        <f t="shared" si="12"/>
        <v xml:space="preserve">    var. Masch.kost. inkl. Mistausbr.</v>
      </c>
      <c r="L94" s="5"/>
      <c r="M94" s="5"/>
      <c r="N94" s="5"/>
      <c r="O94" s="223">
        <f t="shared" si="13"/>
        <v>7</v>
      </c>
      <c r="P94" s="1">
        <f t="shared" si="14"/>
        <v>5.2631578947368418E-2</v>
      </c>
      <c r="Q94" s="232">
        <f t="shared" si="15"/>
        <v>1.2907278039877183E-2</v>
      </c>
      <c r="R94" s="383" t="s">
        <v>230</v>
      </c>
      <c r="S94" s="6"/>
      <c r="T94" s="4"/>
      <c r="U94" s="4"/>
      <c r="V94" s="4"/>
      <c r="W94" s="4"/>
      <c r="X94" s="4"/>
    </row>
    <row r="95" spans="2:24" ht="19.649999999999999" customHeight="1" x14ac:dyDescent="0.25">
      <c r="B95" s="167" t="s">
        <v>31</v>
      </c>
      <c r="C95" s="168"/>
      <c r="D95" s="493">
        <v>18</v>
      </c>
      <c r="E95" s="501" t="s">
        <v>32</v>
      </c>
      <c r="F95" s="430" t="s">
        <v>179</v>
      </c>
      <c r="G95" s="474">
        <v>4</v>
      </c>
      <c r="H95" s="495">
        <f t="shared" si="16"/>
        <v>3.6133694670280039</v>
      </c>
      <c r="I95" s="501" t="s">
        <v>54</v>
      </c>
      <c r="J95" s="334">
        <f>1+$D$10</f>
        <v>1.19</v>
      </c>
      <c r="K95" s="220" t="str">
        <f t="shared" si="12"/>
        <v xml:space="preserve">    Beratung, Kontrolle</v>
      </c>
      <c r="L95" s="5"/>
      <c r="M95" s="5"/>
      <c r="N95" s="5"/>
      <c r="O95" s="223">
        <f t="shared" si="13"/>
        <v>1</v>
      </c>
      <c r="P95" s="1">
        <f t="shared" si="14"/>
        <v>8.4210526315789472E-2</v>
      </c>
      <c r="Q95" s="232">
        <f t="shared" si="15"/>
        <v>2.0651644863803494E-2</v>
      </c>
      <c r="R95" s="383" t="s">
        <v>244</v>
      </c>
      <c r="S95" s="6"/>
      <c r="T95" s="4"/>
      <c r="U95" s="4"/>
      <c r="V95" s="4"/>
      <c r="W95" s="4"/>
      <c r="X95" s="4"/>
    </row>
    <row r="96" spans="2:24" ht="20.25" customHeight="1" x14ac:dyDescent="0.25">
      <c r="B96" s="171" t="s">
        <v>33</v>
      </c>
      <c r="C96" s="172"/>
      <c r="D96" s="494">
        <f>365/((G112-G115)/D94*1000+D95)</f>
        <v>2.5129824076355787</v>
      </c>
      <c r="E96" s="502"/>
      <c r="F96" s="430" t="s">
        <v>180</v>
      </c>
      <c r="G96" s="474">
        <v>5</v>
      </c>
      <c r="H96" s="495">
        <f t="shared" si="16"/>
        <v>4.2016806722689077</v>
      </c>
      <c r="I96" s="501" t="s">
        <v>54</v>
      </c>
      <c r="J96" s="334">
        <f>1+$D$9</f>
        <v>1.107</v>
      </c>
      <c r="K96" s="220" t="str">
        <f t="shared" si="12"/>
        <v>Zinsansatz Umlaufvermögen</v>
      </c>
      <c r="L96" s="5"/>
      <c r="M96" s="5"/>
      <c r="N96" s="5"/>
      <c r="O96" s="223">
        <f>H100</f>
        <v>1.5650797531056082</v>
      </c>
      <c r="P96" s="1">
        <f t="shared" si="14"/>
        <v>7.3684210526315783E-2</v>
      </c>
      <c r="Q96" s="232">
        <f t="shared" si="15"/>
        <v>1.8070189255828057E-2</v>
      </c>
      <c r="R96" s="383" t="s">
        <v>228</v>
      </c>
      <c r="S96" s="6"/>
      <c r="T96" s="4"/>
      <c r="U96" s="4"/>
      <c r="V96" s="4"/>
      <c r="W96" s="4"/>
      <c r="X96" s="4"/>
    </row>
    <row r="97" spans="2:24" ht="20.25" customHeight="1" x14ac:dyDescent="0.25">
      <c r="B97" s="361" t="s">
        <v>202</v>
      </c>
      <c r="C97" s="84"/>
      <c r="D97" s="481">
        <v>1000</v>
      </c>
      <c r="E97" s="290" t="s">
        <v>241</v>
      </c>
      <c r="F97" s="430" t="s">
        <v>181</v>
      </c>
      <c r="G97" s="392">
        <v>8</v>
      </c>
      <c r="H97" s="495">
        <f t="shared" si="16"/>
        <v>6.7226890756302522</v>
      </c>
      <c r="I97" s="501" t="s">
        <v>54</v>
      </c>
      <c r="J97" s="334">
        <f>1+$D$10</f>
        <v>1.19</v>
      </c>
      <c r="K97" s="13" t="s">
        <v>86</v>
      </c>
      <c r="L97" s="62"/>
      <c r="M97" s="62"/>
      <c r="N97" s="62"/>
      <c r="O97" s="513">
        <f>D90*$J$81</f>
        <v>7</v>
      </c>
      <c r="P97" s="1">
        <f t="shared" si="14"/>
        <v>1.0526315789473684E-2</v>
      </c>
      <c r="Q97" s="232">
        <f t="shared" si="15"/>
        <v>2.5814556079754368E-3</v>
      </c>
      <c r="R97" s="383" t="s">
        <v>227</v>
      </c>
      <c r="S97" s="6"/>
      <c r="T97" s="4"/>
      <c r="U97" s="4"/>
      <c r="V97" s="4"/>
      <c r="W97" s="4"/>
      <c r="X97" s="4"/>
    </row>
    <row r="98" spans="2:24" ht="20.25" customHeight="1" x14ac:dyDescent="0.25">
      <c r="B98" s="361" t="s">
        <v>316</v>
      </c>
      <c r="C98" s="84"/>
      <c r="D98" s="480">
        <f>IF($E$7="",D97*$J$10-D97*$H$10%,D97*$J$10)</f>
        <v>600</v>
      </c>
      <c r="E98" s="290" t="s">
        <v>241</v>
      </c>
      <c r="F98" s="431" t="s">
        <v>242</v>
      </c>
      <c r="G98" s="474">
        <v>7</v>
      </c>
      <c r="H98" s="495">
        <f t="shared" si="16"/>
        <v>5.882352941176471</v>
      </c>
      <c r="I98" s="501" t="s">
        <v>54</v>
      </c>
      <c r="J98" s="334">
        <f>1+$D$10</f>
        <v>1.19</v>
      </c>
      <c r="K98" s="220" t="s">
        <v>34</v>
      </c>
      <c r="L98" s="5"/>
      <c r="M98" s="5"/>
      <c r="N98" s="5"/>
      <c r="O98" s="223">
        <f>H101</f>
        <v>3.3613445378151261</v>
      </c>
      <c r="P98" s="1">
        <f t="shared" si="14"/>
        <v>1.647452371690114E-2</v>
      </c>
      <c r="Q98" s="232">
        <f t="shared" si="15"/>
        <v>4.0401839055832839E-3</v>
      </c>
      <c r="R98" s="383" t="s">
        <v>216</v>
      </c>
      <c r="S98" s="6"/>
      <c r="T98" s="4"/>
      <c r="U98" s="4"/>
      <c r="V98" s="4"/>
      <c r="W98" s="4"/>
      <c r="X98" s="4"/>
    </row>
    <row r="99" spans="2:24" ht="20.25" customHeight="1" x14ac:dyDescent="0.25">
      <c r="B99" s="167" t="s">
        <v>15</v>
      </c>
      <c r="C99" s="168"/>
      <c r="D99" s="472">
        <v>20</v>
      </c>
      <c r="E99" s="501" t="s">
        <v>10</v>
      </c>
      <c r="F99" s="430" t="s">
        <v>182</v>
      </c>
      <c r="G99" s="474">
        <v>1</v>
      </c>
      <c r="H99" s="495">
        <f t="shared" si="16"/>
        <v>0.84033613445378152</v>
      </c>
      <c r="I99" s="501" t="s">
        <v>54</v>
      </c>
      <c r="J99" s="334">
        <f>1+$D$10</f>
        <v>1.19</v>
      </c>
      <c r="K99" s="13" t="s">
        <v>82</v>
      </c>
      <c r="L99" s="5"/>
      <c r="M99" s="5"/>
      <c r="N99" s="5"/>
      <c r="O99" s="222">
        <f>G124/D96</f>
        <v>17.310109242240337</v>
      </c>
      <c r="P99" s="1">
        <f t="shared" si="14"/>
        <v>7.3684210526315783E-2</v>
      </c>
      <c r="Q99" s="232">
        <f t="shared" si="15"/>
        <v>1.8070189255828057E-2</v>
      </c>
      <c r="R99" s="383" t="s">
        <v>141</v>
      </c>
      <c r="S99" s="6"/>
      <c r="T99" s="4"/>
      <c r="U99" s="4"/>
      <c r="V99" s="4"/>
      <c r="W99" s="4"/>
      <c r="X99" s="4"/>
    </row>
    <row r="100" spans="2:24" ht="20.25" customHeight="1" x14ac:dyDescent="0.25">
      <c r="B100" s="167" t="s">
        <v>17</v>
      </c>
      <c r="C100" s="168"/>
      <c r="D100" s="472">
        <v>1</v>
      </c>
      <c r="E100" s="501" t="s">
        <v>2</v>
      </c>
      <c r="F100" s="631" t="s">
        <v>235</v>
      </c>
      <c r="G100" s="496">
        <f>G34</f>
        <v>1.4999999999999999E-2</v>
      </c>
      <c r="H100" s="515">
        <f>(G116+0.6*(H94+H95+H96+H98+H97+H99+G117+G118))/D96*G100</f>
        <v>1.5650797531056082</v>
      </c>
      <c r="I100" s="502" t="s">
        <v>54</v>
      </c>
      <c r="J100" s="334">
        <f>1+$D$10</f>
        <v>1.19</v>
      </c>
      <c r="K100" s="221" t="s">
        <v>83</v>
      </c>
      <c r="L100" s="5"/>
      <c r="M100" s="5"/>
      <c r="N100" s="5"/>
      <c r="O100" s="223">
        <f>G128/D96</f>
        <v>17.82742285177855</v>
      </c>
      <c r="P100" s="1">
        <f t="shared" si="14"/>
        <v>3.5382574082264487E-2</v>
      </c>
      <c r="Q100" s="232">
        <f t="shared" si="15"/>
        <v>8.6771617074804588E-3</v>
      </c>
      <c r="R100" s="383" t="s">
        <v>176</v>
      </c>
      <c r="S100" s="6"/>
      <c r="T100" s="4"/>
      <c r="U100" s="4"/>
      <c r="V100" s="4"/>
      <c r="W100" s="4"/>
      <c r="X100" s="4"/>
    </row>
    <row r="101" spans="2:24" ht="20.25" customHeight="1" x14ac:dyDescent="0.25">
      <c r="B101" s="633"/>
      <c r="C101" s="628"/>
      <c r="D101" s="628"/>
      <c r="E101" s="634"/>
      <c r="F101" s="170" t="s">
        <v>34</v>
      </c>
      <c r="G101" s="474">
        <v>4</v>
      </c>
      <c r="H101" s="495">
        <f>IF($I$79="",G101,G101/J102)</f>
        <v>3.3613445378151261</v>
      </c>
      <c r="I101" s="501" t="s">
        <v>56</v>
      </c>
      <c r="J101" s="528"/>
      <c r="K101" s="237" t="s">
        <v>84</v>
      </c>
      <c r="L101" s="238"/>
      <c r="M101" s="238"/>
      <c r="N101" s="238"/>
      <c r="O101" s="239">
        <f>SUM(O88:O100)</f>
        <v>387.37834457059364</v>
      </c>
      <c r="P101" s="1">
        <f t="shared" si="14"/>
        <v>0.1822116762341088</v>
      </c>
      <c r="Q101" s="232">
        <f t="shared" si="15"/>
        <v>4.4685278578048757E-2</v>
      </c>
      <c r="R101" s="381"/>
      <c r="S101" s="6"/>
      <c r="T101" s="4"/>
      <c r="U101" s="4"/>
      <c r="V101" s="4"/>
      <c r="W101" s="4"/>
      <c r="X101" s="4"/>
    </row>
    <row r="102" spans="2:24" ht="20.25" customHeight="1" thickBot="1" x14ac:dyDescent="0.3">
      <c r="B102" s="635"/>
      <c r="C102" s="636"/>
      <c r="D102" s="636"/>
      <c r="E102" s="637"/>
      <c r="F102" s="173" t="s">
        <v>35</v>
      </c>
      <c r="G102" s="497"/>
      <c r="H102" s="498">
        <v>2.8</v>
      </c>
      <c r="I102" s="503" t="s">
        <v>16</v>
      </c>
      <c r="J102" s="334">
        <f>1+$D$10</f>
        <v>1.19</v>
      </c>
      <c r="P102" s="1">
        <f t="shared" si="14"/>
        <v>0.18765708265030054</v>
      </c>
      <c r="Q102" s="232">
        <f t="shared" si="15"/>
        <v>4.6020700696473189E-2</v>
      </c>
      <c r="R102" s="381" t="s">
        <v>269</v>
      </c>
      <c r="S102" s="6"/>
      <c r="T102" s="4"/>
      <c r="U102" s="4"/>
      <c r="V102" s="4"/>
      <c r="W102" s="4"/>
      <c r="X102" s="4"/>
    </row>
    <row r="103" spans="2:24" ht="20.25" customHeight="1" x14ac:dyDescent="0.25">
      <c r="P103" s="1">
        <f t="shared" si="14"/>
        <v>4.0776667849536175</v>
      </c>
      <c r="Q103" s="240">
        <f t="shared" si="15"/>
        <v>1</v>
      </c>
      <c r="R103" s="383" t="s">
        <v>217</v>
      </c>
      <c r="S103" s="6"/>
      <c r="T103" s="4"/>
      <c r="U103" s="4"/>
      <c r="V103" s="4"/>
      <c r="W103" s="4"/>
      <c r="X103" s="4"/>
    </row>
    <row r="104" spans="2:24" ht="11.25" customHeight="1" x14ac:dyDescent="0.25">
      <c r="B104" s="42"/>
      <c r="C104" s="42"/>
      <c r="D104" s="42"/>
      <c r="E104" s="42"/>
      <c r="F104" s="42"/>
      <c r="G104" s="42"/>
      <c r="H104" s="42"/>
      <c r="I104" s="42"/>
      <c r="J104" s="22"/>
      <c r="Q104" s="6"/>
      <c r="R104" s="381"/>
      <c r="S104" s="6"/>
      <c r="T104" s="4"/>
      <c r="U104" s="4"/>
      <c r="V104" s="4"/>
      <c r="W104" s="4"/>
      <c r="X104" s="4"/>
    </row>
    <row r="105" spans="2:24" ht="8.4" customHeight="1" thickBot="1" x14ac:dyDescent="0.3">
      <c r="B105" s="43"/>
      <c r="C105" s="43"/>
      <c r="D105" s="91"/>
      <c r="E105" s="43"/>
      <c r="F105" s="92"/>
      <c r="G105" s="43"/>
      <c r="H105" s="93"/>
      <c r="I105" s="43"/>
      <c r="J105" s="22"/>
      <c r="K105" s="22"/>
      <c r="L105" s="5"/>
      <c r="M105" s="5"/>
      <c r="N105" s="5"/>
      <c r="O105" s="223"/>
      <c r="P105" s="5"/>
      <c r="Q105" s="6"/>
      <c r="R105" s="381"/>
      <c r="S105" s="6"/>
      <c r="T105" s="4"/>
      <c r="U105" s="4"/>
      <c r="V105" s="4"/>
      <c r="W105" s="4"/>
      <c r="X105" s="4"/>
    </row>
    <row r="106" spans="2:24" s="62" customFormat="1" ht="24" customHeight="1" x14ac:dyDescent="0.3">
      <c r="B106" s="125" t="s">
        <v>128</v>
      </c>
      <c r="C106" s="602" t="str">
        <f>IF($D$88="","ohne Prämien","mit Prämien")</f>
        <v>ohne Prämien</v>
      </c>
      <c r="D106" s="610" t="str">
        <f>IF($D$88=0,"",CONCATENATE($D$88," €/Tier"))</f>
        <v/>
      </c>
      <c r="E106" s="611"/>
      <c r="F106" s="710" t="s">
        <v>234</v>
      </c>
      <c r="G106" s="710"/>
      <c r="H106" s="710"/>
      <c r="I106" s="711"/>
      <c r="J106" s="22"/>
      <c r="K106" s="221" t="s">
        <v>85</v>
      </c>
      <c r="L106" s="5"/>
      <c r="M106" s="5"/>
      <c r="N106" s="5"/>
      <c r="O106" s="223">
        <f>G110</f>
        <v>15.298356201455372</v>
      </c>
      <c r="P106" s="5"/>
      <c r="Q106" s="6"/>
      <c r="S106" s="6"/>
      <c r="T106" s="94"/>
      <c r="U106" s="94"/>
      <c r="V106" s="94"/>
      <c r="W106" s="94"/>
      <c r="X106" s="94"/>
    </row>
    <row r="107" spans="2:24" s="62" customFormat="1" ht="20.25" customHeight="1" thickBot="1" x14ac:dyDescent="0.35">
      <c r="B107" s="612" t="str">
        <f>IF($I$7="",$H$6,$H$7)</f>
        <v xml:space="preserve">Regelbesteuerung </v>
      </c>
      <c r="C107" s="603" t="str">
        <f>IF($E$7="","mit Inv.förderung","ohne Inv.förderung")</f>
        <v>mit Inv.förderung</v>
      </c>
      <c r="D107" s="374">
        <f>IF($E$6=0," ",$H$10/100)</f>
        <v>0.4</v>
      </c>
      <c r="E107" s="613"/>
      <c r="F107" s="203">
        <v>3.5</v>
      </c>
      <c r="G107" s="609">
        <v>3.3</v>
      </c>
      <c r="H107" s="738">
        <v>3.1</v>
      </c>
      <c r="I107" s="739"/>
      <c r="J107" s="95"/>
      <c r="K107" s="354" t="str">
        <f>B136</f>
        <v>Gesamte Erzeugungskosten beim kosten-</v>
      </c>
      <c r="L107" s="355"/>
      <c r="M107" s="355"/>
      <c r="N107" s="355"/>
      <c r="O107" s="224"/>
      <c r="P107" s="96"/>
      <c r="Q107" s="6"/>
      <c r="R107" s="381" t="s">
        <v>226</v>
      </c>
      <c r="S107" s="6"/>
      <c r="T107" s="94"/>
      <c r="U107" s="94"/>
      <c r="V107" s="94"/>
      <c r="W107" s="94"/>
      <c r="X107" s="94"/>
    </row>
    <row r="108" spans="2:24" ht="20.25" customHeight="1" x14ac:dyDescent="0.25">
      <c r="B108" s="177" t="s">
        <v>36</v>
      </c>
      <c r="C108" s="345">
        <f>D85</f>
        <v>95</v>
      </c>
      <c r="D108" s="346">
        <f>D87+D89</f>
        <v>3.75</v>
      </c>
      <c r="E108" s="189" t="s">
        <v>56</v>
      </c>
      <c r="F108" s="190">
        <f>G108</f>
        <v>356.25</v>
      </c>
      <c r="G108" s="190">
        <f>($D$85*($D$87+$D$89))*$J$81+D88</f>
        <v>356.25</v>
      </c>
      <c r="H108" s="191">
        <f>G108</f>
        <v>356.25</v>
      </c>
      <c r="I108" s="192"/>
      <c r="J108" s="22"/>
      <c r="K108" s="354" t="str">
        <f>B137</f>
        <v>deckenden Ferkelpreis (bei mittlerer Anzahl verk. Ferkel/Sau)</v>
      </c>
      <c r="L108" s="355"/>
      <c r="M108" s="355"/>
      <c r="N108" s="355"/>
      <c r="O108" s="223">
        <f>O101-O106</f>
        <v>372.07998836913828</v>
      </c>
      <c r="P108" s="5"/>
      <c r="Q108" s="6"/>
      <c r="R108" s="381"/>
      <c r="S108" s="6"/>
      <c r="T108" s="4"/>
      <c r="U108" s="4"/>
      <c r="V108" s="4"/>
      <c r="W108" s="4"/>
      <c r="X108" s="4"/>
    </row>
    <row r="109" spans="2:24" ht="20.25" customHeight="1" x14ac:dyDescent="0.25">
      <c r="B109" s="177" t="s">
        <v>135</v>
      </c>
      <c r="C109" s="178"/>
      <c r="D109" s="179"/>
      <c r="E109" s="189" t="s">
        <v>56</v>
      </c>
      <c r="F109" s="190">
        <f>F108-D90*$J$81</f>
        <v>349.25</v>
      </c>
      <c r="G109" s="147">
        <f>G108-D90*$J$81</f>
        <v>349.25</v>
      </c>
      <c r="H109" s="191">
        <f>H108-D90*$J$81</f>
        <v>349.25</v>
      </c>
      <c r="I109" s="193"/>
      <c r="J109" s="22"/>
      <c r="K109" s="22"/>
      <c r="L109" s="5"/>
      <c r="M109" s="7"/>
      <c r="N109" s="5"/>
      <c r="O109" s="5"/>
      <c r="P109" s="5"/>
      <c r="Q109" s="6"/>
      <c r="R109" s="381"/>
      <c r="S109" s="6"/>
      <c r="T109" s="4"/>
      <c r="U109" s="4"/>
      <c r="V109" s="4"/>
      <c r="W109" s="4"/>
      <c r="X109" s="4"/>
    </row>
    <row r="110" spans="2:24" ht="20.25" customHeight="1" x14ac:dyDescent="0.25">
      <c r="B110" s="177" t="s">
        <v>19</v>
      </c>
      <c r="C110" s="178"/>
      <c r="D110" s="179"/>
      <c r="E110" s="189" t="s">
        <v>56</v>
      </c>
      <c r="F110" s="190">
        <f>IF(I78="",H90*H91,H90*H91*(1+D10))</f>
        <v>15.298356201455372</v>
      </c>
      <c r="G110" s="147">
        <f>$F$110</f>
        <v>15.298356201455372</v>
      </c>
      <c r="H110" s="191">
        <f>G110</f>
        <v>15.298356201455372</v>
      </c>
      <c r="I110" s="192"/>
      <c r="J110" s="22"/>
      <c r="K110" s="22"/>
      <c r="L110" s="5"/>
      <c r="M110" s="7"/>
      <c r="N110" s="5"/>
      <c r="O110" s="13" t="s">
        <v>81</v>
      </c>
      <c r="P110" s="511">
        <f>P88</f>
        <v>1.5894736842105264</v>
      </c>
      <c r="Q110" s="6"/>
      <c r="R110" s="381"/>
      <c r="S110" s="6"/>
      <c r="T110" s="4"/>
      <c r="U110" s="4"/>
      <c r="V110" s="4"/>
      <c r="W110" s="4"/>
      <c r="X110" s="4"/>
    </row>
    <row r="111" spans="2:24" ht="20.25" customHeight="1" x14ac:dyDescent="0.25">
      <c r="B111" s="180" t="s">
        <v>251</v>
      </c>
      <c r="C111" s="181"/>
      <c r="D111" s="182"/>
      <c r="E111" s="194" t="s">
        <v>56</v>
      </c>
      <c r="F111" s="195">
        <f>F109+F110</f>
        <v>364.54835620145536</v>
      </c>
      <c r="G111" s="516">
        <f>G109+G110</f>
        <v>364.54835620145536</v>
      </c>
      <c r="H111" s="196">
        <f>H109+H110</f>
        <v>364.54835620145536</v>
      </c>
      <c r="I111" s="197"/>
      <c r="J111" s="22"/>
      <c r="K111" s="22"/>
      <c r="L111" s="5"/>
      <c r="M111" s="7"/>
      <c r="N111" s="5"/>
      <c r="O111" s="13" t="s">
        <v>80</v>
      </c>
      <c r="P111" s="511">
        <f>P89</f>
        <v>1.7138356651121474</v>
      </c>
      <c r="Q111" s="6"/>
      <c r="R111" s="381"/>
      <c r="S111" s="6"/>
      <c r="T111" s="4"/>
      <c r="U111" s="4"/>
      <c r="V111" s="4"/>
      <c r="W111" s="4"/>
      <c r="X111" s="4"/>
    </row>
    <row r="112" spans="2:24" ht="20.25" customHeight="1" x14ac:dyDescent="0.25">
      <c r="B112" s="177" t="s">
        <v>37</v>
      </c>
      <c r="C112" s="178"/>
      <c r="D112" s="179"/>
      <c r="E112" s="189" t="s">
        <v>5</v>
      </c>
      <c r="F112" s="198">
        <f>$D$85/$D$86*100</f>
        <v>120.25316455696202</v>
      </c>
      <c r="G112" s="622">
        <f>$D$85/$D$86*100</f>
        <v>120.25316455696202</v>
      </c>
      <c r="H112" s="191">
        <f>$D$85/$D$86*100</f>
        <v>120.25316455696202</v>
      </c>
      <c r="I112" s="199"/>
      <c r="J112" s="21"/>
      <c r="K112" s="21"/>
      <c r="L112" s="4"/>
      <c r="M112" s="4"/>
      <c r="N112" s="4"/>
      <c r="O112" s="220" t="str">
        <f>K98</f>
        <v>Gemeinkosten je Mastplatz</v>
      </c>
      <c r="P112" s="4">
        <f>P100</f>
        <v>3.5382574082264487E-2</v>
      </c>
      <c r="Q112" s="4"/>
      <c r="R112" s="4"/>
      <c r="S112" s="4"/>
      <c r="T112" s="4"/>
      <c r="U112" s="4"/>
      <c r="V112" s="4"/>
      <c r="W112" s="4"/>
      <c r="X112" s="4"/>
    </row>
    <row r="113" spans="2:16" ht="20.25" customHeight="1" x14ac:dyDescent="0.25">
      <c r="B113" s="177" t="s">
        <v>38</v>
      </c>
      <c r="C113" s="178"/>
      <c r="D113" s="179"/>
      <c r="E113" s="189" t="s">
        <v>5</v>
      </c>
      <c r="F113" s="198">
        <f>F112-F115</f>
        <v>92.25316455696202</v>
      </c>
      <c r="G113" s="623">
        <f>G112-G115</f>
        <v>92.25316455696202</v>
      </c>
      <c r="H113" s="191">
        <f>H112-H115</f>
        <v>92.25316455696202</v>
      </c>
      <c r="I113" s="199"/>
      <c r="O113" s="13" t="s">
        <v>82</v>
      </c>
      <c r="P113" s="1">
        <f>P101</f>
        <v>0.1822116762341088</v>
      </c>
    </row>
    <row r="114" spans="2:16" ht="20.25" customHeight="1" x14ac:dyDescent="0.25">
      <c r="B114" s="183" t="s">
        <v>39</v>
      </c>
      <c r="C114" s="184"/>
      <c r="D114" s="185"/>
      <c r="E114" s="189" t="s">
        <v>5</v>
      </c>
      <c r="F114" s="198">
        <f>$G$113*F107</f>
        <v>322.88607594936707</v>
      </c>
      <c r="G114" s="623">
        <f>$G$113*G107</f>
        <v>304.43544303797466</v>
      </c>
      <c r="H114" s="191">
        <f>$G$113*H107</f>
        <v>285.98481012658226</v>
      </c>
      <c r="I114" s="192"/>
      <c r="O114" s="221" t="s">
        <v>83</v>
      </c>
      <c r="P114" s="1">
        <f>P102</f>
        <v>0.18765708265030054</v>
      </c>
    </row>
    <row r="115" spans="2:16" ht="20.25" customHeight="1" x14ac:dyDescent="0.25">
      <c r="B115" s="186" t="s">
        <v>42</v>
      </c>
      <c r="C115" s="187"/>
      <c r="D115" s="188"/>
      <c r="E115" s="200" t="s">
        <v>5</v>
      </c>
      <c r="F115" s="201">
        <f>$H$85</f>
        <v>28</v>
      </c>
      <c r="G115" s="624">
        <f>$H$85</f>
        <v>28</v>
      </c>
      <c r="H115" s="514">
        <f>$H$85</f>
        <v>28</v>
      </c>
      <c r="I115" s="340"/>
      <c r="O115" s="1" t="s">
        <v>232</v>
      </c>
      <c r="P115" s="1">
        <f>SUM(P90:P98)</f>
        <v>0.29542189213795378</v>
      </c>
    </row>
    <row r="116" spans="2:16" ht="20.25" customHeight="1" x14ac:dyDescent="0.25">
      <c r="B116" s="177" t="s">
        <v>318</v>
      </c>
      <c r="C116" s="178"/>
      <c r="D116" s="179"/>
      <c r="E116" s="189" t="s">
        <v>56</v>
      </c>
      <c r="F116" s="198">
        <f>($H$86+$H$87+$H$88+$H$89)*$J$82</f>
        <v>151</v>
      </c>
      <c r="G116" s="623">
        <f>($H$86+$H$87+$H$88+$H$89)*$J$82</f>
        <v>151</v>
      </c>
      <c r="H116" s="191">
        <f>($H$86+$H$87+$H$88+$H$89)*$J$82</f>
        <v>151</v>
      </c>
      <c r="I116" s="192"/>
    </row>
    <row r="117" spans="2:16" ht="20.25" customHeight="1" x14ac:dyDescent="0.25">
      <c r="B117" s="177" t="s">
        <v>288</v>
      </c>
      <c r="C117" s="178"/>
      <c r="D117" s="179"/>
      <c r="E117" s="189" t="s">
        <v>56</v>
      </c>
      <c r="F117" s="198">
        <f>F114*$D$91/100*$J$82+$D$93</f>
        <v>167.67637130801685</v>
      </c>
      <c r="G117" s="623">
        <f>G114*$D$91/100*$J$82+$D$93</f>
        <v>158.45105485232065</v>
      </c>
      <c r="H117" s="191">
        <f>H114*$D$91/100*$J$82+$D$93</f>
        <v>149.22573839662445</v>
      </c>
      <c r="I117" s="192"/>
    </row>
    <row r="118" spans="2:16" ht="15" x14ac:dyDescent="0.25">
      <c r="B118" s="126" t="s">
        <v>319</v>
      </c>
      <c r="C118" s="178"/>
      <c r="D118" s="179"/>
      <c r="E118" s="189" t="s">
        <v>56</v>
      </c>
      <c r="F118" s="198">
        <f>$D$92*$D$93</f>
        <v>4.3633333333333333</v>
      </c>
      <c r="G118" s="623">
        <f>$D$92*$D$93</f>
        <v>4.3633333333333333</v>
      </c>
      <c r="H118" s="191">
        <f>$D$92*$D$93</f>
        <v>4.3633333333333333</v>
      </c>
      <c r="I118" s="192"/>
    </row>
    <row r="119" spans="2:16" ht="20.25" customHeight="1" x14ac:dyDescent="0.25">
      <c r="B119" s="186" t="s">
        <v>250</v>
      </c>
      <c r="C119" s="187"/>
      <c r="D119" s="188"/>
      <c r="E119" s="200" t="s">
        <v>56</v>
      </c>
      <c r="F119" s="201">
        <f>$H$92</f>
        <v>24.086012245343696</v>
      </c>
      <c r="G119" s="625">
        <f>$H$92</f>
        <v>24.086012245343696</v>
      </c>
      <c r="H119" s="514">
        <f>$H$92</f>
        <v>24.086012245343696</v>
      </c>
      <c r="I119" s="202"/>
    </row>
    <row r="120" spans="2:16" ht="28.5" customHeight="1" x14ac:dyDescent="0.25">
      <c r="B120" s="97" t="s">
        <v>22</v>
      </c>
      <c r="C120" s="98"/>
      <c r="D120" s="99"/>
      <c r="E120" s="100" t="s">
        <v>56</v>
      </c>
      <c r="F120" s="620">
        <f>F116+F117+F118+F119</f>
        <v>347.12571688669391</v>
      </c>
      <c r="G120" s="621">
        <f>G116+G117+G118+G119</f>
        <v>337.90040043099771</v>
      </c>
      <c r="H120" s="101">
        <f>H116+H117+H118+H119</f>
        <v>328.6750839753015</v>
      </c>
      <c r="I120" s="102"/>
    </row>
    <row r="121" spans="2:16" ht="21.3" customHeight="1" x14ac:dyDescent="0.25">
      <c r="B121" s="251" t="s">
        <v>61</v>
      </c>
      <c r="C121" s="252"/>
      <c r="D121" s="595" t="s">
        <v>62</v>
      </c>
      <c r="E121" s="253" t="s">
        <v>56</v>
      </c>
      <c r="F121" s="320">
        <f>F111-F120</f>
        <v>17.422639314761454</v>
      </c>
      <c r="G121" s="320">
        <f>G111-G120</f>
        <v>26.647955770457656</v>
      </c>
      <c r="H121" s="321">
        <f>H111-H120</f>
        <v>35.873272226153858</v>
      </c>
      <c r="I121" s="254"/>
    </row>
    <row r="122" spans="2:16" ht="24.75" customHeight="1" x14ac:dyDescent="0.25">
      <c r="B122" s="552"/>
      <c r="C122" s="553"/>
      <c r="D122" s="596" t="s">
        <v>63</v>
      </c>
      <c r="E122" s="554" t="s">
        <v>56</v>
      </c>
      <c r="F122" s="555">
        <f>F121*$D$96</f>
        <v>43.782786092575527</v>
      </c>
      <c r="G122" s="555">
        <f>G121*$D$96</f>
        <v>66.965844050611096</v>
      </c>
      <c r="H122" s="556">
        <f>H121*$D$96</f>
        <v>90.148902008646658</v>
      </c>
      <c r="I122" s="557"/>
      <c r="J122" s="14"/>
    </row>
    <row r="123" spans="2:16" s="58" customFormat="1" ht="21.3" hidden="1" customHeight="1" thickBot="1" x14ac:dyDescent="0.3">
      <c r="B123" s="726" t="s">
        <v>68</v>
      </c>
      <c r="C123" s="727"/>
      <c r="D123" s="728"/>
      <c r="E123" s="111" t="s">
        <v>2</v>
      </c>
      <c r="F123" s="112">
        <f>F122/(F124+F125+F128)</f>
        <v>0.477658126370957</v>
      </c>
      <c r="G123" s="112">
        <f>G122/(G124+G125+G128)</f>
        <v>0.73057889766153461</v>
      </c>
      <c r="H123" s="691">
        <f>H122/(H124+H125+H128)</f>
        <v>0.98349966895211205</v>
      </c>
      <c r="I123" s="692"/>
      <c r="J123" s="63"/>
      <c r="K123" s="57"/>
    </row>
    <row r="124" spans="2:16" ht="21.75" customHeight="1" x14ac:dyDescent="0.25">
      <c r="B124" s="561" t="s">
        <v>40</v>
      </c>
      <c r="C124" s="562">
        <f>D98</f>
        <v>600</v>
      </c>
      <c r="D124" s="563">
        <f>100/D99+D100+H81/2</f>
        <v>7.25</v>
      </c>
      <c r="E124" s="564" t="s">
        <v>56</v>
      </c>
      <c r="F124" s="565">
        <f>G124</f>
        <v>43.5</v>
      </c>
      <c r="G124" s="566">
        <f>(D98/D99+(H81/2+D100)%*D98)</f>
        <v>43.5</v>
      </c>
      <c r="H124" s="567">
        <f>G124</f>
        <v>43.5</v>
      </c>
      <c r="I124" s="568"/>
      <c r="J124" s="14"/>
    </row>
    <row r="125" spans="2:16" ht="20.25" customHeight="1" x14ac:dyDescent="0.25">
      <c r="B125" s="103" t="s">
        <v>41</v>
      </c>
      <c r="C125" s="104"/>
      <c r="D125" s="105"/>
      <c r="E125" s="106" t="s">
        <v>56</v>
      </c>
      <c r="F125" s="107">
        <f>H101</f>
        <v>3.3613445378151261</v>
      </c>
      <c r="G125" s="108">
        <f>H101</f>
        <v>3.3613445378151261</v>
      </c>
      <c r="H125" s="109">
        <f>H101</f>
        <v>3.3613445378151261</v>
      </c>
      <c r="I125" s="110"/>
      <c r="J125" s="14"/>
    </row>
    <row r="126" spans="2:16" ht="27" customHeight="1" x14ac:dyDescent="0.3">
      <c r="B126" s="113" t="str">
        <f>B63</f>
        <v>Arbeitseinkommen</v>
      </c>
      <c r="C126" s="114"/>
      <c r="D126" s="117" t="s">
        <v>64</v>
      </c>
      <c r="E126" s="119" t="s">
        <v>56</v>
      </c>
      <c r="F126" s="640">
        <f>F122-F124-F125</f>
        <v>-3.0785584452395987</v>
      </c>
      <c r="G126" s="640">
        <f>G122-G124-G125</f>
        <v>20.104499512795972</v>
      </c>
      <c r="H126" s="641">
        <f>H122-H124-H125</f>
        <v>43.28755747083153</v>
      </c>
      <c r="I126" s="642"/>
    </row>
    <row r="127" spans="2:16" ht="21.75" customHeight="1" x14ac:dyDescent="0.3">
      <c r="B127" s="115"/>
      <c r="C127" s="116"/>
      <c r="D127" s="597" t="s">
        <v>65</v>
      </c>
      <c r="E127" s="121" t="s">
        <v>56</v>
      </c>
      <c r="F127" s="558">
        <f>F126/$H$102</f>
        <v>-1.0994851590141423</v>
      </c>
      <c r="G127" s="558">
        <f>G126/$H$102</f>
        <v>7.1801783974271336</v>
      </c>
      <c r="H127" s="559">
        <f>H126/$H$102</f>
        <v>15.459841953868404</v>
      </c>
      <c r="I127" s="560"/>
    </row>
    <row r="128" spans="2:16" ht="25.5" customHeight="1" x14ac:dyDescent="0.25">
      <c r="B128" s="103" t="s">
        <v>263</v>
      </c>
      <c r="C128" s="519">
        <f>H102</f>
        <v>2.8</v>
      </c>
      <c r="D128" s="520">
        <f>H82</f>
        <v>16</v>
      </c>
      <c r="E128" s="106" t="s">
        <v>56</v>
      </c>
      <c r="F128" s="521">
        <f>$H$102*$H$11</f>
        <v>44.8</v>
      </c>
      <c r="G128" s="521">
        <f>$H$102*$H$11</f>
        <v>44.8</v>
      </c>
      <c r="H128" s="522">
        <f>$H$102*$H$11</f>
        <v>44.8</v>
      </c>
      <c r="I128" s="110"/>
      <c r="J128" s="11"/>
      <c r="K128" s="11"/>
    </row>
    <row r="129" spans="2:13" ht="24" customHeight="1" x14ac:dyDescent="0.3">
      <c r="B129" s="113" t="s">
        <v>249</v>
      </c>
      <c r="C129" s="114"/>
      <c r="D129" s="118"/>
      <c r="E129" s="119" t="s">
        <v>56</v>
      </c>
      <c r="F129" s="640">
        <f>F126-F128</f>
        <v>-47.878558445239598</v>
      </c>
      <c r="G129" s="640">
        <f>G126-G128</f>
        <v>-24.695500487204026</v>
      </c>
      <c r="H129" s="641">
        <f>H126-H128</f>
        <v>-1.5124425291684673</v>
      </c>
      <c r="I129" s="643"/>
    </row>
    <row r="130" spans="2:13" ht="23.25" customHeight="1" x14ac:dyDescent="0.3">
      <c r="B130" s="115" t="s">
        <v>58</v>
      </c>
      <c r="C130" s="116"/>
      <c r="D130" s="120"/>
      <c r="E130" s="121" t="s">
        <v>2</v>
      </c>
      <c r="F130" s="265">
        <f>(F122-F125-F128-$D$98/$D$99-$D$98*$D$100%)/$D$98*2</f>
        <v>-0.13459519481746532</v>
      </c>
      <c r="G130" s="265">
        <f>(G122-G125-G128-$D$98/$D$99-$D$98*$D$100%)/$D$98*2</f>
        <v>-5.7318334957346763E-2</v>
      </c>
      <c r="H130" s="740">
        <f>(H122-H125-H128-$D$98/$D$99-$D$98*$D$100%)/$D$98*2</f>
        <v>1.9958524902771776E-2</v>
      </c>
      <c r="I130" s="741"/>
    </row>
    <row r="131" spans="2:13" ht="39.299999999999997" customHeight="1" x14ac:dyDescent="0.3">
      <c r="B131" s="731" t="s">
        <v>297</v>
      </c>
      <c r="C131" s="732"/>
      <c r="D131" s="358">
        <f>H86</f>
        <v>140</v>
      </c>
      <c r="E131" s="123" t="s">
        <v>56</v>
      </c>
      <c r="F131" s="124">
        <f>(F120+$D$90*$J$81+(F124+F125+F128)/$D$96-F110)</f>
        <v>375.30248452984108</v>
      </c>
      <c r="G131" s="660">
        <f>(G120+$D$90*$J$81+(G124+G125+G128)/$D$96-G110)</f>
        <v>366.07716807414488</v>
      </c>
      <c r="H131" s="721">
        <f>(H120+$D$90*$J$81+(H124+H125+H128)/$D$96-H110)</f>
        <v>356.85185161844868</v>
      </c>
      <c r="I131" s="722">
        <f>(I120+$D$90*$J$81+(I124+I125+I128)/$D$96-I110)</f>
        <v>7</v>
      </c>
      <c r="J131"/>
      <c r="K131"/>
      <c r="L131"/>
      <c r="M131"/>
    </row>
    <row r="132" spans="2:13" ht="24.75" customHeight="1" x14ac:dyDescent="0.3">
      <c r="B132" s="704" t="s">
        <v>264</v>
      </c>
      <c r="C132" s="705"/>
      <c r="D132" s="723"/>
      <c r="E132" s="123"/>
      <c r="F132" s="245"/>
      <c r="G132" s="245"/>
      <c r="H132" s="246"/>
      <c r="I132" s="247"/>
      <c r="J132"/>
      <c r="K132"/>
      <c r="L132"/>
      <c r="M132"/>
    </row>
    <row r="133" spans="2:13" ht="24.75" customHeight="1" x14ac:dyDescent="0.3">
      <c r="B133" s="281" t="s">
        <v>265</v>
      </c>
      <c r="C133" s="512"/>
      <c r="D133" s="512"/>
      <c r="E133" s="216" t="s">
        <v>56</v>
      </c>
      <c r="F133" s="600">
        <f>(F120+$D$90*$J$81+(F124+F125+F128)/$D$96-F110)/$D$85/$J$81-$D$89</f>
        <v>3.9505524687351694</v>
      </c>
      <c r="G133" s="661">
        <f>(G120+$D$90*$J$81+(G124+G125+G128)/$D$96-G110)/$D$85/$J$81-$D$89</f>
        <v>3.8534438744646828</v>
      </c>
      <c r="H133" s="719">
        <f>(H120+$D$90*$J$81+(H124+H125+H128)/$D$96-H110)/$D$85/$J$81-$D$89</f>
        <v>3.7563352801941967</v>
      </c>
      <c r="I133" s="720">
        <f>(I120+$D$90*$J$81+(I124+I125+I128)/$D$96-I110)/$D$85/$J$81-$D$89</f>
        <v>7.3684210526315783E-2</v>
      </c>
      <c r="J133"/>
      <c r="K133"/>
      <c r="L133"/>
      <c r="M133"/>
    </row>
    <row r="134" spans="2:13" ht="23.25" customHeight="1" x14ac:dyDescent="0.3">
      <c r="B134" s="281" t="s">
        <v>266</v>
      </c>
      <c r="C134" s="282"/>
      <c r="D134" s="282"/>
      <c r="E134" s="216" t="s">
        <v>56</v>
      </c>
      <c r="F134" s="600">
        <f>F133-$D$88/$D$85</f>
        <v>3.9505524687351694</v>
      </c>
      <c r="G134" s="600">
        <f>G133-$D$88/$D$85</f>
        <v>3.8534438744646828</v>
      </c>
      <c r="H134" s="719">
        <f>H133-$D$88/$D$85</f>
        <v>3.7563352801941967</v>
      </c>
      <c r="I134" s="720"/>
      <c r="J134"/>
      <c r="K134"/>
      <c r="L134"/>
      <c r="M134"/>
    </row>
    <row r="135" spans="2:13" ht="23.25" customHeight="1" x14ac:dyDescent="0.3">
      <c r="B135" s="551" t="s">
        <v>267</v>
      </c>
      <c r="C135" s="263"/>
      <c r="D135" s="263"/>
      <c r="E135" s="264" t="s">
        <v>56</v>
      </c>
      <c r="F135" s="601">
        <f>$D$87-F121/$D$85/$J$81</f>
        <v>3.5666037966867217</v>
      </c>
      <c r="G135" s="601">
        <f>$D$87-G121/$D$85/$J$81</f>
        <v>3.4694952024162351</v>
      </c>
      <c r="H135" s="736">
        <f>$D$87-H121/$D$85/$J$81</f>
        <v>3.372386608145749</v>
      </c>
      <c r="I135" s="737"/>
    </row>
    <row r="136" spans="2:13" ht="23.25" customHeight="1" x14ac:dyDescent="0.3">
      <c r="B136" s="733" t="s">
        <v>111</v>
      </c>
      <c r="C136" s="734"/>
      <c r="D136" s="735"/>
      <c r="E136" s="541"/>
      <c r="F136" s="547"/>
      <c r="G136" s="548"/>
      <c r="H136" s="549"/>
      <c r="I136" s="550"/>
    </row>
    <row r="137" spans="2:13" ht="17.399999999999999" customHeight="1" x14ac:dyDescent="0.3">
      <c r="B137" s="742" t="s">
        <v>290</v>
      </c>
      <c r="C137" s="743"/>
      <c r="D137" s="744"/>
      <c r="E137" s="541" t="s">
        <v>56</v>
      </c>
      <c r="F137" s="542">
        <f>F131-($G$66/$G$41)</f>
        <v>355.86729652186688</v>
      </c>
      <c r="G137" s="543">
        <f>G131-($G$66/$G$41)</f>
        <v>346.64198006617067</v>
      </c>
      <c r="H137" s="729">
        <f t="shared" ref="H137:I137" si="17">H131-($G$66/$G$41)</f>
        <v>337.41666361047447</v>
      </c>
      <c r="I137" s="730">
        <f t="shared" si="17"/>
        <v>-12.435188007974194</v>
      </c>
    </row>
    <row r="138" spans="2:13" ht="30.3" customHeight="1" thickBot="1" x14ac:dyDescent="0.3">
      <c r="B138" s="544" t="s">
        <v>112</v>
      </c>
      <c r="C138" s="545"/>
      <c r="D138" s="545"/>
      <c r="E138" s="546" t="s">
        <v>56</v>
      </c>
      <c r="F138" s="598">
        <f>F133-($G$66/$G$41/$D$85/$J$81)</f>
        <v>3.7459715423354409</v>
      </c>
      <c r="G138" s="599">
        <f>G133-($G$66/$G$41/$D$85/$J$81)</f>
        <v>3.6488629480649544</v>
      </c>
      <c r="H138" s="717">
        <f t="shared" ref="H138:I138" si="18">H133-($G$66/$G$41/$D$85/$J$81)</f>
        <v>3.5517543537944682</v>
      </c>
      <c r="I138" s="718">
        <f t="shared" si="18"/>
        <v>-0.13089671587341256</v>
      </c>
      <c r="J138" s="638" t="s">
        <v>289</v>
      </c>
      <c r="K138" s="1"/>
    </row>
    <row r="139" spans="2:13" ht="82.95" customHeight="1" x14ac:dyDescent="0.25">
      <c r="B139" s="44"/>
      <c r="C139" s="44"/>
      <c r="D139" s="44"/>
      <c r="E139" s="211"/>
      <c r="F139" s="211"/>
      <c r="G139" s="211"/>
      <c r="H139" s="211"/>
      <c r="I139" s="211"/>
    </row>
    <row r="140" spans="2:13" s="645" customFormat="1" x14ac:dyDescent="0.25">
      <c r="B140" s="646" t="s">
        <v>303</v>
      </c>
      <c r="C140" s="644"/>
      <c r="D140" s="644"/>
      <c r="E140" s="644"/>
      <c r="F140" s="644"/>
      <c r="G140" s="644"/>
      <c r="H140" s="644"/>
      <c r="I140" s="644"/>
      <c r="J140" s="266"/>
      <c r="K140" s="266"/>
    </row>
    <row r="141" spans="2:13" ht="26.4" customHeight="1" x14ac:dyDescent="0.25">
      <c r="F141" s="268" t="s">
        <v>43</v>
      </c>
      <c r="G141" s="268" t="s">
        <v>44</v>
      </c>
      <c r="H141" s="268" t="s">
        <v>45</v>
      </c>
    </row>
    <row r="142" spans="2:13" ht="15.6" x14ac:dyDescent="0.25">
      <c r="F142" s="219">
        <f>F41</f>
        <v>16</v>
      </c>
      <c r="G142" s="219">
        <f>G41</f>
        <v>19</v>
      </c>
      <c r="H142" s="219">
        <f>H41</f>
        <v>22</v>
      </c>
    </row>
    <row r="143" spans="2:13" x14ac:dyDescent="0.25">
      <c r="B143" s="266" t="s">
        <v>79</v>
      </c>
      <c r="F143" s="218">
        <f>F57</f>
        <v>905.49130853921588</v>
      </c>
      <c r="G143" s="218">
        <f>G57</f>
        <v>1270.5943085392155</v>
      </c>
      <c r="H143" s="218">
        <f>H57</f>
        <v>1635.6973085392156</v>
      </c>
    </row>
    <row r="144" spans="2:13" x14ac:dyDescent="0.25">
      <c r="B144" s="12" t="s">
        <v>93</v>
      </c>
      <c r="F144" s="218">
        <f t="shared" ref="F144:H145" si="19">F71</f>
        <v>139.18189831587307</v>
      </c>
      <c r="G144" s="218">
        <f t="shared" si="19"/>
        <v>120.56481199202581</v>
      </c>
      <c r="H144" s="218">
        <f t="shared" si="19"/>
        <v>107.02511284740959</v>
      </c>
    </row>
    <row r="145" spans="2:9" x14ac:dyDescent="0.25">
      <c r="B145" s="12" t="s">
        <v>94</v>
      </c>
      <c r="F145" s="218">
        <f t="shared" si="19"/>
        <v>83.406793216299008</v>
      </c>
      <c r="G145" s="218">
        <f t="shared" si="19"/>
        <v>73.126615340041283</v>
      </c>
      <c r="H145" s="218">
        <f t="shared" si="19"/>
        <v>65.650122339126568</v>
      </c>
    </row>
    <row r="147" spans="2:9" x14ac:dyDescent="0.25">
      <c r="B147" s="255" t="s">
        <v>99</v>
      </c>
      <c r="C147" s="257">
        <v>5</v>
      </c>
      <c r="D147" s="255" t="s">
        <v>100</v>
      </c>
      <c r="E147" s="255"/>
      <c r="F147" s="256">
        <f>F$148+($C147-$C$148)*$J$9*F$142</f>
        <v>905.49130853921588</v>
      </c>
      <c r="G147" s="256">
        <f>G$148+($C147-$C$148)*$J$9*G$142</f>
        <v>1270.5943085392155</v>
      </c>
      <c r="H147" s="256">
        <f>H$148+($C147-$C$148)*$J$9*H$142</f>
        <v>1635.6973085392156</v>
      </c>
    </row>
    <row r="148" spans="2:9" x14ac:dyDescent="0.25">
      <c r="B148" s="255"/>
      <c r="C148" s="257">
        <v>0</v>
      </c>
      <c r="D148" s="255" t="s">
        <v>100</v>
      </c>
      <c r="E148" s="255"/>
      <c r="F148" s="256">
        <f>F143-F142*$D$23*$J$9</f>
        <v>825.49130853921588</v>
      </c>
      <c r="G148" s="256">
        <f>G143-G142*$D$23*$J$9</f>
        <v>1175.5943085392155</v>
      </c>
      <c r="H148" s="256">
        <f>H143-H142*$D$23*$J$9</f>
        <v>1525.6973085392156</v>
      </c>
    </row>
    <row r="149" spans="2:9" x14ac:dyDescent="0.25">
      <c r="B149" s="255"/>
      <c r="C149" s="257">
        <v>-5</v>
      </c>
      <c r="D149" s="255" t="s">
        <v>101</v>
      </c>
      <c r="E149" s="255"/>
      <c r="F149" s="256">
        <f>F$148+($C149-$C$148)*$J$9*F$142</f>
        <v>745.49130853921588</v>
      </c>
      <c r="G149" s="256">
        <f>G$148+($C149-$C$148)*$J$9*G$142</f>
        <v>1080.5943085392155</v>
      </c>
      <c r="H149" s="256">
        <f>H$148+($C149-$C$148)*$J$9*H$142</f>
        <v>1415.6973085392156</v>
      </c>
    </row>
    <row r="151" spans="2:9" x14ac:dyDescent="0.25">
      <c r="B151" s="12" t="s">
        <v>103</v>
      </c>
      <c r="F151" s="218">
        <f>F61+F62</f>
        <v>412.40168159318523</v>
      </c>
      <c r="G151" s="218">
        <f>G61+G62</f>
        <v>421.32573638770577</v>
      </c>
      <c r="H151" s="218">
        <f>H61+H62</f>
        <v>430.24979118222632</v>
      </c>
    </row>
    <row r="152" spans="2:9" x14ac:dyDescent="0.25">
      <c r="B152" s="12" t="s">
        <v>102</v>
      </c>
      <c r="F152" s="218">
        <f>F65</f>
        <v>480</v>
      </c>
      <c r="G152" s="218">
        <f>G65</f>
        <v>480</v>
      </c>
      <c r="H152" s="218">
        <f>H65</f>
        <v>480</v>
      </c>
    </row>
    <row r="153" spans="2:9" x14ac:dyDescent="0.25">
      <c r="B153" s="12" t="s">
        <v>104</v>
      </c>
      <c r="F153" s="218">
        <f>F151+F152</f>
        <v>892.40168159318523</v>
      </c>
      <c r="G153" s="218">
        <f>G151+G152</f>
        <v>901.32573638770577</v>
      </c>
      <c r="H153" s="218">
        <f>H151+H152</f>
        <v>910.24979118222632</v>
      </c>
    </row>
    <row r="154" spans="2:9" x14ac:dyDescent="0.25">
      <c r="B154" s="12" t="s">
        <v>105</v>
      </c>
      <c r="F154" s="258">
        <f>F64</f>
        <v>16.436320898201021</v>
      </c>
      <c r="G154" s="258">
        <f>G64</f>
        <v>28.308952405050324</v>
      </c>
      <c r="H154" s="258">
        <f>H64</f>
        <v>40.181583911899637</v>
      </c>
    </row>
    <row r="155" spans="2:9" x14ac:dyDescent="0.25">
      <c r="B155" s="12" t="s">
        <v>58</v>
      </c>
      <c r="F155" s="259">
        <f>F67</f>
        <v>2.9797826323248251E-2</v>
      </c>
      <c r="G155" s="259">
        <f>G67</f>
        <v>0.15736446532488471</v>
      </c>
      <c r="H155" s="259">
        <f>H67</f>
        <v>0.27942412277013673</v>
      </c>
    </row>
    <row r="156" spans="2:9" x14ac:dyDescent="0.25">
      <c r="F156" s="259"/>
      <c r="G156" s="259"/>
      <c r="H156" s="259"/>
    </row>
    <row r="157" spans="2:9" ht="15" x14ac:dyDescent="0.25">
      <c r="B157" s="13"/>
      <c r="C157" s="13"/>
      <c r="D157" s="13"/>
      <c r="E157" s="13"/>
      <c r="F157" s="217" t="str">
        <f>CONCATENATE("niedrig (","1:",F107,")")</f>
        <v>niedrig (1:3,5)</v>
      </c>
      <c r="G157" s="217" t="str">
        <f>CONCATENATE("mittel (","1:",G107,")")</f>
        <v>mittel (1:3,3)</v>
      </c>
      <c r="H157" s="217" t="str">
        <f>CONCATENATE("hoch (","1:",H107,")")</f>
        <v>hoch (1:3,1)</v>
      </c>
      <c r="I157" s="13"/>
    </row>
    <row r="158" spans="2:9" ht="15" x14ac:dyDescent="0.25">
      <c r="B158" s="267" t="s">
        <v>77</v>
      </c>
      <c r="C158" s="13"/>
      <c r="D158" s="13"/>
      <c r="E158" s="13"/>
      <c r="F158" s="213">
        <f>F122</f>
        <v>43.782786092575527</v>
      </c>
      <c r="G158" s="213">
        <f>G122</f>
        <v>66.965844050611096</v>
      </c>
      <c r="H158" s="213">
        <f>H122</f>
        <v>90.148902008646658</v>
      </c>
      <c r="I158" s="13"/>
    </row>
    <row r="159" spans="2:9" ht="15" x14ac:dyDescent="0.25">
      <c r="B159" s="212" t="s">
        <v>96</v>
      </c>
      <c r="C159" s="13"/>
      <c r="D159" s="13"/>
      <c r="E159" s="13"/>
      <c r="F159" s="214">
        <f>F133</f>
        <v>3.9505524687351694</v>
      </c>
      <c r="G159" s="214">
        <f>G133</f>
        <v>3.8534438744646828</v>
      </c>
      <c r="H159" s="214">
        <f>H133</f>
        <v>3.7563352801941967</v>
      </c>
      <c r="I159" s="13"/>
    </row>
    <row r="160" spans="2:9" ht="15" x14ac:dyDescent="0.25">
      <c r="B160" s="212" t="s">
        <v>97</v>
      </c>
      <c r="C160" s="13"/>
      <c r="D160" s="13"/>
      <c r="E160" s="13"/>
      <c r="F160" s="214">
        <f>F135</f>
        <v>3.5666037966867217</v>
      </c>
      <c r="G160" s="214">
        <f>G135</f>
        <v>3.4694952024162351</v>
      </c>
      <c r="H160" s="214">
        <f>H135</f>
        <v>3.372386608145749</v>
      </c>
      <c r="I160" s="13"/>
    </row>
    <row r="161" spans="2:11" ht="15" x14ac:dyDescent="0.25">
      <c r="B161" s="212" t="s">
        <v>78</v>
      </c>
      <c r="C161" s="13"/>
      <c r="D161" s="13"/>
      <c r="E161" s="13"/>
      <c r="F161" s="215">
        <f>F138</f>
        <v>3.7459715423354409</v>
      </c>
      <c r="G161" s="215">
        <f>G138</f>
        <v>3.6488629480649544</v>
      </c>
      <c r="H161" s="215">
        <f>H138</f>
        <v>3.5517543537944682</v>
      </c>
      <c r="I161" s="13"/>
    </row>
    <row r="163" spans="2:11" s="284" customFormat="1" ht="13.8" x14ac:dyDescent="0.25">
      <c r="B163" s="212" t="s">
        <v>103</v>
      </c>
      <c r="C163" s="212"/>
      <c r="D163" s="212"/>
      <c r="E163" s="212"/>
      <c r="F163" s="283">
        <f>F124+F125</f>
        <v>46.861344537815128</v>
      </c>
      <c r="G163" s="283">
        <f>G124+G125</f>
        <v>46.861344537815128</v>
      </c>
      <c r="H163" s="283">
        <f>H124+H125</f>
        <v>46.861344537815128</v>
      </c>
      <c r="I163" s="212"/>
      <c r="J163" s="212"/>
      <c r="K163" s="212"/>
    </row>
    <row r="164" spans="2:11" s="284" customFormat="1" ht="13.8" x14ac:dyDescent="0.25">
      <c r="B164" s="212" t="s">
        <v>102</v>
      </c>
      <c r="C164" s="212"/>
      <c r="D164" s="212"/>
      <c r="E164" s="212"/>
      <c r="F164" s="283">
        <f>F128</f>
        <v>44.8</v>
      </c>
      <c r="G164" s="283">
        <f>G128</f>
        <v>44.8</v>
      </c>
      <c r="H164" s="283">
        <f>H128</f>
        <v>44.8</v>
      </c>
      <c r="I164" s="212"/>
      <c r="J164" s="212"/>
      <c r="K164" s="212"/>
    </row>
    <row r="165" spans="2:11" s="284" customFormat="1" ht="13.8" x14ac:dyDescent="0.25">
      <c r="B165" s="212" t="s">
        <v>104</v>
      </c>
      <c r="C165" s="212"/>
      <c r="D165" s="212"/>
      <c r="E165" s="212"/>
      <c r="F165" s="283">
        <f>SUM(F163:F164)</f>
        <v>91.661344537815125</v>
      </c>
      <c r="G165" s="283">
        <f>SUM(G163:G164)</f>
        <v>91.661344537815125</v>
      </c>
      <c r="H165" s="283">
        <f>SUM(H163:H164)</f>
        <v>91.661344537815125</v>
      </c>
      <c r="I165" s="212"/>
      <c r="J165" s="212"/>
      <c r="K165" s="212"/>
    </row>
    <row r="166" spans="2:11" s="284" customFormat="1" ht="13.8" x14ac:dyDescent="0.25">
      <c r="B166" s="212" t="s">
        <v>105</v>
      </c>
      <c r="C166" s="212"/>
      <c r="D166" s="212"/>
      <c r="E166" s="212"/>
      <c r="F166" s="283">
        <f>F127</f>
        <v>-1.0994851590141423</v>
      </c>
      <c r="G166" s="283">
        <f>G127</f>
        <v>7.1801783974271336</v>
      </c>
      <c r="H166" s="283">
        <f>H127</f>
        <v>15.459841953868404</v>
      </c>
      <c r="I166" s="212"/>
      <c r="J166" s="212"/>
      <c r="K166" s="212"/>
    </row>
    <row r="167" spans="2:11" s="284" customFormat="1" ht="13.8" x14ac:dyDescent="0.25">
      <c r="B167" s="212" t="s">
        <v>58</v>
      </c>
      <c r="C167" s="212"/>
      <c r="D167" s="212"/>
      <c r="E167" s="212"/>
      <c r="F167" s="285">
        <f>F130</f>
        <v>-0.13459519481746532</v>
      </c>
      <c r="G167" s="285">
        <f>G130</f>
        <v>-5.7318334957346763E-2</v>
      </c>
      <c r="H167" s="285">
        <f>H130</f>
        <v>1.9958524902771776E-2</v>
      </c>
      <c r="I167" s="212"/>
      <c r="J167" s="212"/>
      <c r="K167" s="212"/>
    </row>
  </sheetData>
  <sheetProtection sheet="1" objects="1" scenarios="1"/>
  <mergeCells count="34">
    <mergeCell ref="J2:L2"/>
    <mergeCell ref="B13:G13"/>
    <mergeCell ref="B18:I18"/>
    <mergeCell ref="H50:I50"/>
    <mergeCell ref="H48:I48"/>
    <mergeCell ref="H4:I4"/>
    <mergeCell ref="H49:I49"/>
    <mergeCell ref="B2:F2"/>
    <mergeCell ref="H138:I138"/>
    <mergeCell ref="H133:I133"/>
    <mergeCell ref="H131:I131"/>
    <mergeCell ref="B132:D132"/>
    <mergeCell ref="F85:G85"/>
    <mergeCell ref="B123:D123"/>
    <mergeCell ref="H137:I137"/>
    <mergeCell ref="B131:C131"/>
    <mergeCell ref="H134:I134"/>
    <mergeCell ref="B136:D136"/>
    <mergeCell ref="H135:I135"/>
    <mergeCell ref="H107:I107"/>
    <mergeCell ref="H130:I130"/>
    <mergeCell ref="B137:D137"/>
    <mergeCell ref="H56:I56"/>
    <mergeCell ref="H123:I123"/>
    <mergeCell ref="B58:D58"/>
    <mergeCell ref="H46:I46"/>
    <mergeCell ref="H41:I41"/>
    <mergeCell ref="H58:I58"/>
    <mergeCell ref="H76:I76"/>
    <mergeCell ref="B68:C69"/>
    <mergeCell ref="H69:I69"/>
    <mergeCell ref="F106:I106"/>
    <mergeCell ref="B84:I84"/>
    <mergeCell ref="B74:F74"/>
  </mergeCells>
  <phoneticPr fontId="0" type="noConversion"/>
  <printOptions horizontalCentered="1" gridLinesSet="0"/>
  <pageMargins left="0.23622047244094491" right="0.23622047244094491" top="0.74803149606299213" bottom="0.74803149606299213" header="0.31496062992125984" footer="0.31496062992125984"/>
  <pageSetup paperSize="9" scale="54" fitToHeight="0" orientation="portrait" verticalDpi="300" r:id="rId1"/>
  <headerFooter alignWithMargins="0">
    <oddFooter>&amp;LLEL, Abt.2, J.Miez, K.Schabel, V. Segger&amp;C&amp;F&amp;R&amp;D</oddFooter>
  </headerFooter>
  <rowBreaks count="1" manualBreakCount="1">
    <brk id="72" min="1" max="8" man="1"/>
  </rowBreaks>
  <colBreaks count="2" manualBreakCount="2">
    <brk id="9" max="1048575" man="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2"/>
  <sheetViews>
    <sheetView topLeftCell="A88" zoomScaleNormal="100" workbookViewId="0">
      <selection activeCell="O26" sqref="O26"/>
    </sheetView>
  </sheetViews>
  <sheetFormatPr baseColWidth="10" defaultRowHeight="13.2" x14ac:dyDescent="0.25"/>
  <cols>
    <col min="1" max="1" width="2.109375" customWidth="1"/>
  </cols>
  <sheetData>
    <row r="2" spans="2:12" ht="5.4" customHeight="1" thickBot="1" x14ac:dyDescent="0.3"/>
    <row r="3" spans="2:12" ht="40.049999999999997" customHeight="1" thickBot="1" x14ac:dyDescent="0.3">
      <c r="B3" s="715" t="s">
        <v>302</v>
      </c>
      <c r="C3" s="716"/>
      <c r="D3" s="716"/>
      <c r="E3" s="716"/>
      <c r="F3" s="716"/>
      <c r="G3" s="716"/>
      <c r="H3" s="716"/>
      <c r="I3" s="716"/>
      <c r="J3" s="716"/>
      <c r="K3" s="663"/>
      <c r="L3" s="665" t="str">
        <f>Info!H3</f>
        <v xml:space="preserve">Vers. 01/2018
</v>
      </c>
    </row>
    <row r="4" spans="2:12" ht="20.399999999999999" customHeight="1" x14ac:dyDescent="0.25"/>
    <row r="22" ht="38.700000000000003" customHeight="1" x14ac:dyDescent="0.25"/>
    <row r="33" spans="7:7" x14ac:dyDescent="0.25">
      <c r="G33">
        <f>' ÖKOZS-Aufzf..-Mast'!D19</f>
        <v>140</v>
      </c>
    </row>
    <row r="52" ht="101.85" customHeight="1" x14ac:dyDescent="0.25"/>
  </sheetData>
  <mergeCells count="1">
    <mergeCell ref="B3:J3"/>
  </mergeCells>
  <pageMargins left="0.25" right="0.25" top="0.75" bottom="0.75" header="0.3" footer="0.3"/>
  <pageSetup paperSize="9" scale="83" orientation="portrait" r:id="rId1"/>
  <headerFooter alignWithMargins="0">
    <oddFooter>&amp;LLEL, Abt.2, K.Schabel, V. Segger&amp;C&amp;F&amp;R&amp;D</oddFooter>
  </headerFooter>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2"/>
  <sheetViews>
    <sheetView topLeftCell="A67" zoomScale="80" zoomScaleNormal="80" workbookViewId="0">
      <selection activeCell="J7" sqref="J7"/>
    </sheetView>
  </sheetViews>
  <sheetFormatPr baseColWidth="10" defaultRowHeight="13.2" x14ac:dyDescent="0.25"/>
  <cols>
    <col min="1" max="1" width="1.33203125" customWidth="1"/>
    <col min="2" max="2" width="50.6640625" customWidth="1"/>
    <col min="3" max="3" width="13.88671875" customWidth="1"/>
    <col min="4" max="4" width="2.88671875" customWidth="1"/>
    <col min="5" max="5" width="35" customWidth="1"/>
    <col min="6" max="6" width="21.6640625" customWidth="1"/>
    <col min="7" max="7" width="15.21875" customWidth="1"/>
    <col min="8" max="8" width="16" customWidth="1"/>
  </cols>
  <sheetData>
    <row r="1" spans="2:10" ht="13.8" thickBot="1" x14ac:dyDescent="0.3"/>
    <row r="2" spans="2:10" ht="27.15" customHeight="1" x14ac:dyDescent="0.25">
      <c r="B2" s="798" t="s">
        <v>304</v>
      </c>
      <c r="C2" s="799"/>
      <c r="D2" s="799"/>
      <c r="E2" s="799"/>
      <c r="F2" s="799"/>
      <c r="G2" s="784" t="str">
        <f>Info!H3</f>
        <v xml:space="preserve">Vers. 01/2018
</v>
      </c>
      <c r="J2" s="300"/>
    </row>
    <row r="3" spans="2:10" ht="13.8" thickBot="1" x14ac:dyDescent="0.3">
      <c r="B3" s="800"/>
      <c r="C3" s="801"/>
      <c r="D3" s="801"/>
      <c r="E3" s="801"/>
      <c r="F3" s="801"/>
      <c r="G3" s="785"/>
    </row>
    <row r="4" spans="2:10" ht="8.1" customHeight="1" thickBot="1" x14ac:dyDescent="0.55000000000000004">
      <c r="B4" s="33"/>
      <c r="C4" s="33"/>
      <c r="D4" s="33"/>
      <c r="E4" s="34"/>
      <c r="F4" s="34"/>
      <c r="G4" s="34"/>
    </row>
    <row r="5" spans="2:10" ht="38.25" customHeight="1" thickBot="1" x14ac:dyDescent="0.35">
      <c r="B5" s="204" t="s">
        <v>305</v>
      </c>
      <c r="C5" s="205">
        <f>' ÖKOZS-Aufzf..-Mast'!D19</f>
        <v>140</v>
      </c>
      <c r="D5" s="210"/>
      <c r="E5" s="47"/>
      <c r="F5" s="47"/>
      <c r="G5" s="47"/>
    </row>
    <row r="6" spans="2:10" ht="9.75" customHeight="1" thickBot="1" x14ac:dyDescent="0.35">
      <c r="B6" s="204"/>
      <c r="C6" s="425"/>
      <c r="D6" s="425"/>
      <c r="E6" s="47"/>
      <c r="F6" s="47"/>
      <c r="G6" s="47"/>
    </row>
    <row r="7" spans="2:10" ht="39.299999999999997" customHeight="1" thickBot="1" x14ac:dyDescent="0.35">
      <c r="B7" s="204" t="s">
        <v>306</v>
      </c>
      <c r="C7" s="426">
        <f>' ÖKOZS-Aufzf..-Mast'!D20</f>
        <v>28</v>
      </c>
      <c r="D7" s="427"/>
      <c r="E7" s="788" t="str">
        <f>' ÖKOZS-Aufzf..-Mast'!B87</f>
        <v>Basispreis / kg Schlachtgewicht (o. Mwst.)</v>
      </c>
      <c r="F7" s="789"/>
      <c r="G7" s="206">
        <f>' ÖKOZS-Aufzf..-Mast'!D87</f>
        <v>3.75</v>
      </c>
    </row>
    <row r="8" spans="2:10" ht="12.3" customHeight="1" x14ac:dyDescent="0.4">
      <c r="B8" s="61"/>
      <c r="C8" s="64"/>
      <c r="D8" s="64"/>
      <c r="E8" s="67"/>
      <c r="F8" s="67"/>
      <c r="G8" s="65"/>
    </row>
    <row r="9" spans="2:10" ht="21.75" customHeight="1" thickBot="1" x14ac:dyDescent="0.45">
      <c r="B9" s="32"/>
      <c r="C9" s="46"/>
      <c r="D9" s="46"/>
      <c r="E9" s="45"/>
      <c r="F9" s="45"/>
      <c r="G9" s="32"/>
    </row>
    <row r="10" spans="2:10" ht="24.6" x14ac:dyDescent="0.4">
      <c r="B10" s="296"/>
      <c r="C10" s="297"/>
      <c r="D10" s="786" t="str">
        <f>' ÖKOZS-Aufzf..-Mast'!B18</f>
        <v xml:space="preserve"> Zuchtsau mit Aufzuchtferkeln </v>
      </c>
      <c r="E10" s="787"/>
      <c r="F10" s="794" t="str">
        <f>' ÖKOZS-Aufzf..-Mast'!B84</f>
        <v xml:space="preserve">Schweinemast </v>
      </c>
      <c r="G10" s="795"/>
    </row>
    <row r="11" spans="2:10" ht="17.399999999999999" x14ac:dyDescent="0.3">
      <c r="B11" s="418"/>
      <c r="C11" s="52"/>
      <c r="D11" s="802" t="str">
        <f>IF(' ÖKOZS-Aufzf..-Mast'!$E$7="","mit Förderung","ohne Förderung")</f>
        <v>mit Förderung</v>
      </c>
      <c r="E11" s="803"/>
      <c r="F11" s="790" t="str">
        <f>IF(' ÖKOZS-Aufzf..-Mast'!$E$7="","mit Förderung","ohne Förderung")</f>
        <v>mit Förderung</v>
      </c>
      <c r="G11" s="791"/>
    </row>
    <row r="12" spans="2:10" ht="18" thickBot="1" x14ac:dyDescent="0.35">
      <c r="B12" s="418"/>
      <c r="C12" s="52"/>
      <c r="D12" s="804" t="str">
        <f>IF(' ÖKOZS-Aufzf..-Mast'!$I$7="","Pauschalierung","Regelbesteuerung")</f>
        <v>Regelbesteuerung</v>
      </c>
      <c r="E12" s="805"/>
      <c r="F12" s="792" t="str">
        <f>IF(' ÖKOZS-Aufzf..-Mast'!$I$7="","Pauschalierung","Regelbesteuerung")</f>
        <v>Regelbesteuerung</v>
      </c>
      <c r="G12" s="793"/>
    </row>
    <row r="13" spans="2:10" ht="17.399999999999999" x14ac:dyDescent="0.3">
      <c r="B13" s="419" t="s">
        <v>49</v>
      </c>
      <c r="C13" s="420" t="s">
        <v>46</v>
      </c>
      <c r="D13" s="806">
        <f>' ÖKOZS-Aufzf..-Mast'!H19</f>
        <v>2.2999999999999998</v>
      </c>
      <c r="E13" s="807"/>
      <c r="F13" s="796">
        <f>' ÖKOZS-Aufzf..-Mast'!G107</f>
        <v>3.3</v>
      </c>
      <c r="G13" s="797"/>
    </row>
    <row r="14" spans="2:10" ht="17.399999999999999" x14ac:dyDescent="0.3">
      <c r="B14" s="418" t="s">
        <v>158</v>
      </c>
      <c r="C14" s="207" t="s">
        <v>56</v>
      </c>
      <c r="D14" s="766">
        <f>' ÖKOZS-Aufzf..-Mast'!D35</f>
        <v>4800</v>
      </c>
      <c r="E14" s="767"/>
      <c r="F14" s="770">
        <f>' ÖKOZS-Aufzf..-Mast'!D98</f>
        <v>600</v>
      </c>
      <c r="G14" s="771"/>
    </row>
    <row r="15" spans="2:10" ht="17.399999999999999" x14ac:dyDescent="0.3">
      <c r="B15" s="421" t="s">
        <v>51</v>
      </c>
      <c r="C15" s="208" t="s">
        <v>16</v>
      </c>
      <c r="D15" s="808">
        <f>' ÖKOZS-Aufzf..-Mast'!H36</f>
        <v>30</v>
      </c>
      <c r="E15" s="809"/>
      <c r="F15" s="772">
        <f>' ÖKOZS-Aufzf..-Mast'!H102</f>
        <v>2.8</v>
      </c>
      <c r="G15" s="773"/>
    </row>
    <row r="16" spans="2:10" ht="17.399999999999999" x14ac:dyDescent="0.3">
      <c r="B16" s="418" t="s">
        <v>73</v>
      </c>
      <c r="C16" s="207" t="s">
        <v>56</v>
      </c>
      <c r="D16" s="766">
        <f>' ÖKOZS-Aufzf..-Mast'!G57</f>
        <v>1270.5943085392155</v>
      </c>
      <c r="E16" s="767"/>
      <c r="F16" s="770">
        <f>' ÖKOZS-Aufzf..-Mast'!G121</f>
        <v>26.647955770457656</v>
      </c>
      <c r="G16" s="771"/>
    </row>
    <row r="17" spans="2:7" s="342" customFormat="1" ht="17.399999999999999" x14ac:dyDescent="0.3">
      <c r="B17" s="422" t="s">
        <v>50</v>
      </c>
      <c r="C17" s="209" t="s">
        <v>56</v>
      </c>
      <c r="D17" s="762">
        <f>' ÖKOZS-Aufzf..-Mast'!G57</f>
        <v>1270.5943085392155</v>
      </c>
      <c r="E17" s="763"/>
      <c r="F17" s="778">
        <f>' ÖKOZS-Aufzf..-Mast'!G122</f>
        <v>66.965844050611096</v>
      </c>
      <c r="G17" s="779"/>
    </row>
    <row r="18" spans="2:7" ht="17.399999999999999" x14ac:dyDescent="0.3">
      <c r="B18" s="421" t="s">
        <v>69</v>
      </c>
      <c r="C18" s="208" t="s">
        <v>2</v>
      </c>
      <c r="D18" s="764">
        <f>' ÖKOZS-Aufzf..-Mast'!G58</f>
        <v>1.4096949163256431</v>
      </c>
      <c r="E18" s="765"/>
      <c r="F18" s="776">
        <f>' ÖKOZS-Aufzf..-Mast'!G123</f>
        <v>0.73057889766153461</v>
      </c>
      <c r="G18" s="777"/>
    </row>
    <row r="19" spans="2:7" ht="17.399999999999999" x14ac:dyDescent="0.3">
      <c r="B19" s="418" t="s">
        <v>47</v>
      </c>
      <c r="C19" s="207" t="s">
        <v>70</v>
      </c>
      <c r="D19" s="782">
        <f>' ÖKOZS-Aufzf..-Mast'!G64</f>
        <v>28.308952405050324</v>
      </c>
      <c r="E19" s="783"/>
      <c r="F19" s="774">
        <f>' ÖKOZS-Aufzf..-Mast'!G127</f>
        <v>7.1801783974271336</v>
      </c>
      <c r="G19" s="775"/>
    </row>
    <row r="20" spans="2:7" ht="18" thickBot="1" x14ac:dyDescent="0.35">
      <c r="B20" s="423" t="s">
        <v>59</v>
      </c>
      <c r="C20" s="424" t="s">
        <v>2</v>
      </c>
      <c r="D20" s="780">
        <f>' ÖKOZS-Aufzf..-Mast'!G67</f>
        <v>0.15736446532488471</v>
      </c>
      <c r="E20" s="781"/>
      <c r="F20" s="768">
        <f>' ÖKOZS-Aufzf..-Mast'!G130</f>
        <v>-5.7318334957346763E-2</v>
      </c>
      <c r="G20" s="769"/>
    </row>
    <row r="22" spans="2:7" ht="18.75" customHeight="1" x14ac:dyDescent="0.25">
      <c r="B22" s="51" t="s">
        <v>53</v>
      </c>
    </row>
  </sheetData>
  <mergeCells count="25">
    <mergeCell ref="G2:G3"/>
    <mergeCell ref="D10:E10"/>
    <mergeCell ref="E7:F7"/>
    <mergeCell ref="F16:G16"/>
    <mergeCell ref="F11:G11"/>
    <mergeCell ref="F12:G12"/>
    <mergeCell ref="F10:G10"/>
    <mergeCell ref="F13:G13"/>
    <mergeCell ref="B2:F3"/>
    <mergeCell ref="D11:E11"/>
    <mergeCell ref="D12:E12"/>
    <mergeCell ref="D13:E13"/>
    <mergeCell ref="D15:E15"/>
    <mergeCell ref="D16:E16"/>
    <mergeCell ref="D17:E17"/>
    <mergeCell ref="D18:E18"/>
    <mergeCell ref="D14:E14"/>
    <mergeCell ref="F20:G20"/>
    <mergeCell ref="F14:G14"/>
    <mergeCell ref="F15:G15"/>
    <mergeCell ref="F19:G19"/>
    <mergeCell ref="F18:G18"/>
    <mergeCell ref="F17:G17"/>
    <mergeCell ref="D20:E20"/>
    <mergeCell ref="D19:E19"/>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63" orientation="portrait" r:id="rId1"/>
  <headerFooter alignWithMargins="0">
    <oddFooter>&amp;LLEL, Abt.2, K.Schabel, V. Segger&amp;C&amp;F&amp;R&amp;D</oddFooter>
  </headerFooter>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29" sqref="G29"/>
    </sheetView>
  </sheetViews>
  <sheetFormatPr baseColWidth="10" defaultRowHeight="13.2" x14ac:dyDescent="0.25"/>
  <sheetData/>
  <pageMargins left="0.7" right="0.7" top="0.78740157499999996" bottom="0.78740157499999996" header="0.3" footer="0.3"/>
  <pageSetup paperSize="9" orientation="portrait" verticalDpi="0"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election activeCell="H29" sqref="H29"/>
    </sheetView>
  </sheetViews>
  <sheetFormatPr baseColWidth="10" defaultRowHeight="13.2" x14ac:dyDescent="0.25"/>
  <sheetData/>
  <pageMargins left="0.7" right="0.7" top="0.78740157499999996" bottom="0.78740157499999996" header="0.3" footer="0.3"/>
  <pageSetup paperSize="9" orientation="portrait" verticalDpi="0" r:id="rId1"/>
  <headerFooter>
    <oddFooter>&amp;C&amp;F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Info</vt:lpstr>
      <vt:lpstr>Ökorichlinien</vt:lpstr>
      <vt:lpstr>Förderung</vt:lpstr>
      <vt:lpstr> ÖKOZS-Aufzf..-Mast</vt:lpstr>
      <vt:lpstr>Grafiken</vt:lpstr>
      <vt:lpstr>Vergl. Aufz.-Mast</vt:lpstr>
      <vt:lpstr>Tabelle1</vt:lpstr>
      <vt:lpstr>Kostenstruktur-kurz</vt:lpstr>
      <vt:lpstr>' ÖKOZS-Aufzf..-Mast'!Druckbereich</vt:lpstr>
      <vt:lpstr>Förderung!Druckbereich</vt:lpstr>
      <vt:lpstr>Grafiken!Druckbereich</vt:lpstr>
      <vt:lpstr>Info!Druckbereich</vt:lpstr>
      <vt:lpstr>'Vergl. Aufz.-Mast'!Druckbereich</vt:lpstr>
      <vt:lpstr>Förderung!Drucktitel</vt:lpstr>
    </vt:vector>
  </TitlesOfParts>
  <Company>LEL Schwäbisch Gmünd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VOKO SAU</dc:title>
  <dc:subject>Vollkosten in der Schweinehaltung</dc:subject>
  <dc:creator>Dr. Volker Segger;Joerg.Miez@lel.bwl.de</dc:creator>
  <cp:keywords>Wirtschaftlichkeit Schweine, Deckungsbeitrag Schweine, Vollkosten Schweine</cp:keywords>
  <cp:lastModifiedBy>Miez, Jörg (LEL)</cp:lastModifiedBy>
  <cp:lastPrinted>2018-10-24T14:10:33Z</cp:lastPrinted>
  <dcterms:created xsi:type="dcterms:W3CDTF">1998-09-25T13:08:28Z</dcterms:created>
  <dcterms:modified xsi:type="dcterms:W3CDTF">2018-10-24T14:51:54Z</dcterms:modified>
</cp:coreProperties>
</file>